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tables/table273.xml" ContentType="application/vnd.openxmlformats-officedocument.spreadsheetml.table+xml"/>
  <Override PartName="/xl/tables/table274.xml" ContentType="application/vnd.openxmlformats-officedocument.spreadsheetml.table+xml"/>
  <Override PartName="/xl/tables/table275.xml" ContentType="application/vnd.openxmlformats-officedocument.spreadsheetml.table+xml"/>
  <Override PartName="/xl/tables/table276.xml" ContentType="application/vnd.openxmlformats-officedocument.spreadsheetml.table+xml"/>
  <Override PartName="/xl/tables/table277.xml" ContentType="application/vnd.openxmlformats-officedocument.spreadsheetml.table+xml"/>
  <Override PartName="/xl/tables/table27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itra/Downloads/Ready for upload/"/>
    </mc:Choice>
  </mc:AlternateContent>
  <xr:revisionPtr revIDLastSave="0" documentId="13_ncr:1_{74110ECC-96C9-F24E-AEAA-9EA2E249758F}" xr6:coauthVersionLast="36" xr6:coauthVersionMax="47" xr10:uidLastSave="{00000000-0000-0000-0000-000000000000}"/>
  <bookViews>
    <workbookView xWindow="0" yWindow="460" windowWidth="28800" windowHeight="16460" activeTab="5" xr2:uid="{00000000-000D-0000-FFFF-FFFF00000000}"/>
  </bookViews>
  <sheets>
    <sheet name="Read_me_first" sheetId="17" r:id="rId1"/>
    <sheet name="P1_Prevalence" sheetId="1" r:id="rId2"/>
    <sheet name="P2_Prevalence_by_type" sheetId="2" r:id="rId3"/>
    <sheet name="P3_Prevalence_household_level" sheetId="3" r:id="rId4"/>
    <sheet name="Indicators_by_type" sheetId="4" r:id="rId5"/>
    <sheet name="E1_Ever_attended_school" sheetId="5" r:id="rId6"/>
    <sheet name="E2_Less_Than_Primary" sheetId="6" r:id="rId7"/>
    <sheet name="E3_Primary" sheetId="7" r:id="rId8"/>
    <sheet name="E4_At_least_secondary" sheetId="8" r:id="rId9"/>
    <sheet name="H1_Water" sheetId="9" r:id="rId10"/>
    <sheet name="H2_Sanitation" sheetId="10" r:id="rId11"/>
    <sheet name="S1_Electricity" sheetId="11" r:id="rId12"/>
    <sheet name="S2_Clean_fuel" sheetId="12" r:id="rId13"/>
    <sheet name="S3_Adequate Housing" sheetId="13" r:id="rId14"/>
    <sheet name="S4_Owns Assets" sheetId="14" r:id="rId15"/>
    <sheet name="S5_Mobile_phone" sheetId="15" r:id="rId16"/>
    <sheet name="M1_Multid_poverty" sheetId="16" r:id="rId17"/>
  </sheets>
  <calcPr calcId="181029"/>
  <extLst>
    <ext uri="GoogleSheetsCustomDataVersion2">
      <go:sheetsCustomData xmlns:go="http://customooxmlschemas.google.com/" r:id="rId20" roundtripDataChecksum="gODsd5ggEZB8DIbjBWGsc632FrQcfBq2ywXPHOYLtWk="/>
    </ext>
  </extLst>
</workbook>
</file>

<file path=xl/calcChain.xml><?xml version="1.0" encoding="utf-8"?>
<calcChain xmlns="http://schemas.openxmlformats.org/spreadsheetml/2006/main">
  <c r="T55" i="16" l="1"/>
  <c r="N55" i="16"/>
  <c r="K55" i="16"/>
  <c r="E55" i="16"/>
  <c r="T54" i="16"/>
  <c r="N54" i="16"/>
  <c r="K54" i="16"/>
  <c r="E54" i="16"/>
  <c r="T53" i="16"/>
  <c r="N53" i="16"/>
  <c r="K53" i="16"/>
  <c r="E53" i="16"/>
  <c r="T52" i="16"/>
  <c r="N52" i="16"/>
  <c r="K52" i="16"/>
  <c r="E52" i="16"/>
  <c r="T51" i="16"/>
  <c r="N51" i="16"/>
  <c r="K51" i="16"/>
  <c r="E51" i="16"/>
  <c r="T47" i="16"/>
  <c r="N47" i="16"/>
  <c r="K47" i="16"/>
  <c r="E47" i="16"/>
  <c r="T46" i="16"/>
  <c r="N46" i="16"/>
  <c r="K46" i="16"/>
  <c r="E46" i="16"/>
  <c r="T45" i="16"/>
  <c r="N45" i="16"/>
  <c r="K45" i="16"/>
  <c r="E45" i="16"/>
  <c r="T43" i="16"/>
  <c r="N43" i="16"/>
  <c r="K43" i="16"/>
  <c r="E43" i="16"/>
  <c r="T39" i="16"/>
  <c r="N39" i="16"/>
  <c r="K39" i="16"/>
  <c r="E39" i="16"/>
  <c r="T38" i="16"/>
  <c r="N38" i="16"/>
  <c r="K38" i="16"/>
  <c r="E38" i="16"/>
  <c r="T37" i="16"/>
  <c r="N37" i="16"/>
  <c r="K37" i="16"/>
  <c r="E37" i="16"/>
  <c r="T36" i="16"/>
  <c r="N36" i="16"/>
  <c r="K36" i="16"/>
  <c r="E36" i="16"/>
  <c r="T35" i="16"/>
  <c r="N35" i="16"/>
  <c r="K35" i="16"/>
  <c r="E35" i="16"/>
  <c r="T31" i="16"/>
  <c r="N31" i="16"/>
  <c r="K31" i="16"/>
  <c r="E31" i="16"/>
  <c r="T30" i="16"/>
  <c r="N30" i="16"/>
  <c r="K30" i="16"/>
  <c r="E30" i="16"/>
  <c r="T29" i="16"/>
  <c r="N29" i="16"/>
  <c r="K29" i="16"/>
  <c r="E29" i="16"/>
  <c r="T28" i="16"/>
  <c r="N28" i="16"/>
  <c r="K28" i="16"/>
  <c r="E28" i="16"/>
  <c r="T27" i="16"/>
  <c r="N27" i="16"/>
  <c r="K27" i="16"/>
  <c r="E27" i="16"/>
  <c r="T23" i="16"/>
  <c r="N23" i="16"/>
  <c r="K23" i="16"/>
  <c r="E23" i="16"/>
  <c r="T22" i="16"/>
  <c r="N22" i="16"/>
  <c r="K22" i="16"/>
  <c r="E22" i="16"/>
  <c r="T21" i="16"/>
  <c r="N21" i="16"/>
  <c r="K21" i="16"/>
  <c r="E21" i="16"/>
  <c r="T20" i="16"/>
  <c r="N20" i="16"/>
  <c r="K20" i="16"/>
  <c r="E20" i="16"/>
  <c r="T19" i="16"/>
  <c r="N19" i="16"/>
  <c r="K19" i="16"/>
  <c r="E19" i="16"/>
  <c r="T15" i="16"/>
  <c r="N15" i="16"/>
  <c r="K15" i="16"/>
  <c r="E15" i="16"/>
  <c r="T14" i="16"/>
  <c r="N14" i="16"/>
  <c r="K14" i="16"/>
  <c r="E14" i="16"/>
  <c r="T13" i="16"/>
  <c r="N13" i="16"/>
  <c r="K13" i="16"/>
  <c r="E13" i="16"/>
  <c r="T12" i="16"/>
  <c r="N12" i="16"/>
  <c r="K12" i="16"/>
  <c r="E12" i="16"/>
  <c r="T11" i="16"/>
  <c r="N11" i="16"/>
  <c r="K11" i="16"/>
  <c r="E11" i="16"/>
  <c r="T7" i="16"/>
  <c r="N7" i="16"/>
  <c r="K7" i="16"/>
  <c r="E7" i="16"/>
  <c r="T6" i="16"/>
  <c r="N6" i="16"/>
  <c r="K6" i="16"/>
  <c r="E6" i="16"/>
  <c r="T5" i="16"/>
  <c r="N5" i="16"/>
  <c r="K5" i="16"/>
  <c r="E5" i="16"/>
  <c r="T4" i="16"/>
  <c r="N4" i="16"/>
  <c r="K4" i="16"/>
  <c r="E4" i="16"/>
  <c r="T3" i="16"/>
  <c r="N3" i="16"/>
  <c r="K3" i="16"/>
  <c r="E3" i="16"/>
  <c r="T55" i="15"/>
  <c r="N55" i="15"/>
  <c r="K55" i="15"/>
  <c r="E55" i="15"/>
  <c r="T54" i="15"/>
  <c r="N54" i="15"/>
  <c r="K54" i="15"/>
  <c r="E54" i="15"/>
  <c r="T53" i="15"/>
  <c r="N53" i="15"/>
  <c r="K53" i="15"/>
  <c r="E53" i="15"/>
  <c r="T52" i="15"/>
  <c r="N52" i="15"/>
  <c r="K52" i="15"/>
  <c r="E52" i="15"/>
  <c r="T51" i="15"/>
  <c r="N51" i="15"/>
  <c r="K51" i="15"/>
  <c r="E51" i="15"/>
  <c r="T47" i="15"/>
  <c r="N47" i="15"/>
  <c r="K47" i="15"/>
  <c r="E47" i="15"/>
  <c r="T46" i="15"/>
  <c r="N46" i="15"/>
  <c r="K46" i="15"/>
  <c r="E46" i="15"/>
  <c r="T45" i="15"/>
  <c r="N45" i="15"/>
  <c r="K45" i="15"/>
  <c r="E45" i="15"/>
  <c r="T43" i="15"/>
  <c r="N43" i="15"/>
  <c r="K43" i="15"/>
  <c r="E43" i="15"/>
  <c r="T39" i="15"/>
  <c r="N39" i="15"/>
  <c r="K39" i="15"/>
  <c r="E39" i="15"/>
  <c r="T38" i="15"/>
  <c r="N38" i="15"/>
  <c r="K38" i="15"/>
  <c r="E38" i="15"/>
  <c r="T37" i="15"/>
  <c r="N37" i="15"/>
  <c r="K37" i="15"/>
  <c r="E37" i="15"/>
  <c r="T36" i="15"/>
  <c r="N36" i="15"/>
  <c r="K36" i="15"/>
  <c r="E36" i="15"/>
  <c r="T35" i="15"/>
  <c r="N35" i="15"/>
  <c r="K35" i="15"/>
  <c r="E35" i="15"/>
  <c r="T31" i="15"/>
  <c r="N31" i="15"/>
  <c r="K31" i="15"/>
  <c r="E31" i="15"/>
  <c r="T30" i="15"/>
  <c r="N30" i="15"/>
  <c r="K30" i="15"/>
  <c r="E30" i="15"/>
  <c r="T29" i="15"/>
  <c r="N29" i="15"/>
  <c r="K29" i="15"/>
  <c r="E29" i="15"/>
  <c r="T28" i="15"/>
  <c r="N28" i="15"/>
  <c r="K28" i="15"/>
  <c r="E28" i="15"/>
  <c r="T27" i="15"/>
  <c r="N27" i="15"/>
  <c r="K27" i="15"/>
  <c r="E27" i="15"/>
  <c r="T23" i="15"/>
  <c r="N23" i="15"/>
  <c r="K23" i="15"/>
  <c r="E23" i="15"/>
  <c r="T22" i="15"/>
  <c r="N22" i="15"/>
  <c r="K22" i="15"/>
  <c r="E22" i="15"/>
  <c r="T21" i="15"/>
  <c r="N21" i="15"/>
  <c r="K21" i="15"/>
  <c r="E21" i="15"/>
  <c r="T20" i="15"/>
  <c r="N20" i="15"/>
  <c r="K20" i="15"/>
  <c r="E20" i="15"/>
  <c r="T19" i="15"/>
  <c r="N19" i="15"/>
  <c r="K19" i="15"/>
  <c r="E19" i="15"/>
  <c r="T15" i="15"/>
  <c r="N15" i="15"/>
  <c r="K15" i="15"/>
  <c r="E15" i="15"/>
  <c r="T14" i="15"/>
  <c r="N14" i="15"/>
  <c r="K14" i="15"/>
  <c r="E14" i="15"/>
  <c r="T13" i="15"/>
  <c r="N13" i="15"/>
  <c r="K13" i="15"/>
  <c r="E13" i="15"/>
  <c r="T12" i="15"/>
  <c r="N12" i="15"/>
  <c r="K12" i="15"/>
  <c r="E12" i="15"/>
  <c r="T11" i="15"/>
  <c r="N11" i="15"/>
  <c r="K11" i="15"/>
  <c r="E11" i="15"/>
  <c r="T7" i="15"/>
  <c r="N7" i="15"/>
  <c r="K7" i="15"/>
  <c r="E7" i="15"/>
  <c r="T6" i="15"/>
  <c r="N6" i="15"/>
  <c r="K6" i="15"/>
  <c r="E6" i="15"/>
  <c r="T5" i="15"/>
  <c r="N5" i="15"/>
  <c r="K5" i="15"/>
  <c r="E5" i="15"/>
  <c r="T4" i="15"/>
  <c r="N4" i="15"/>
  <c r="K4" i="15"/>
  <c r="E4" i="15"/>
  <c r="T3" i="15"/>
  <c r="N3" i="15"/>
  <c r="K3" i="15"/>
  <c r="E3" i="15"/>
  <c r="T55" i="14"/>
  <c r="N55" i="14"/>
  <c r="K55" i="14"/>
  <c r="E55" i="14"/>
  <c r="T54" i="14"/>
  <c r="N54" i="14"/>
  <c r="K54" i="14"/>
  <c r="E54" i="14"/>
  <c r="T53" i="14"/>
  <c r="N53" i="14"/>
  <c r="K53" i="14"/>
  <c r="E53" i="14"/>
  <c r="T52" i="14"/>
  <c r="N52" i="14"/>
  <c r="K52" i="14"/>
  <c r="E52" i="14"/>
  <c r="T51" i="14"/>
  <c r="N51" i="14"/>
  <c r="K51" i="14"/>
  <c r="E51" i="14"/>
  <c r="T47" i="14"/>
  <c r="N47" i="14"/>
  <c r="K47" i="14"/>
  <c r="E47" i="14"/>
  <c r="T46" i="14"/>
  <c r="N46" i="14"/>
  <c r="K46" i="14"/>
  <c r="E46" i="14"/>
  <c r="T45" i="14"/>
  <c r="N45" i="14"/>
  <c r="K45" i="14"/>
  <c r="E45" i="14"/>
  <c r="T43" i="14"/>
  <c r="N43" i="14"/>
  <c r="K43" i="14"/>
  <c r="E43" i="14"/>
  <c r="T39" i="14"/>
  <c r="N39" i="14"/>
  <c r="K39" i="14"/>
  <c r="E39" i="14"/>
  <c r="T38" i="14"/>
  <c r="N38" i="14"/>
  <c r="K38" i="14"/>
  <c r="E38" i="14"/>
  <c r="T37" i="14"/>
  <c r="N37" i="14"/>
  <c r="K37" i="14"/>
  <c r="E37" i="14"/>
  <c r="T36" i="14"/>
  <c r="N36" i="14"/>
  <c r="K36" i="14"/>
  <c r="E36" i="14"/>
  <c r="T35" i="14"/>
  <c r="N35" i="14"/>
  <c r="K35" i="14"/>
  <c r="E35" i="14"/>
  <c r="T31" i="14"/>
  <c r="N31" i="14"/>
  <c r="K31" i="14"/>
  <c r="E31" i="14"/>
  <c r="T30" i="14"/>
  <c r="N30" i="14"/>
  <c r="K30" i="14"/>
  <c r="E30" i="14"/>
  <c r="T29" i="14"/>
  <c r="N29" i="14"/>
  <c r="K29" i="14"/>
  <c r="E29" i="14"/>
  <c r="T28" i="14"/>
  <c r="N28" i="14"/>
  <c r="K28" i="14"/>
  <c r="E28" i="14"/>
  <c r="T27" i="14"/>
  <c r="N27" i="14"/>
  <c r="K27" i="14"/>
  <c r="E27" i="14"/>
  <c r="T23" i="14"/>
  <c r="N23" i="14"/>
  <c r="K23" i="14"/>
  <c r="E23" i="14"/>
  <c r="T22" i="14"/>
  <c r="N22" i="14"/>
  <c r="K22" i="14"/>
  <c r="E22" i="14"/>
  <c r="T21" i="14"/>
  <c r="N21" i="14"/>
  <c r="K21" i="14"/>
  <c r="E21" i="14"/>
  <c r="T20" i="14"/>
  <c r="N20" i="14"/>
  <c r="K20" i="14"/>
  <c r="E20" i="14"/>
  <c r="T19" i="14"/>
  <c r="N19" i="14"/>
  <c r="K19" i="14"/>
  <c r="E19" i="14"/>
  <c r="T15" i="14"/>
  <c r="N15" i="14"/>
  <c r="K15" i="14"/>
  <c r="E15" i="14"/>
  <c r="T14" i="14"/>
  <c r="N14" i="14"/>
  <c r="K14" i="14"/>
  <c r="E14" i="14"/>
  <c r="T13" i="14"/>
  <c r="N13" i="14"/>
  <c r="K13" i="14"/>
  <c r="E13" i="14"/>
  <c r="T12" i="14"/>
  <c r="N12" i="14"/>
  <c r="K12" i="14"/>
  <c r="E12" i="14"/>
  <c r="T11" i="14"/>
  <c r="N11" i="14"/>
  <c r="K11" i="14"/>
  <c r="E11" i="14"/>
  <c r="T7" i="14"/>
  <c r="N7" i="14"/>
  <c r="K7" i="14"/>
  <c r="E7" i="14"/>
  <c r="T6" i="14"/>
  <c r="N6" i="14"/>
  <c r="K6" i="14"/>
  <c r="E6" i="14"/>
  <c r="T5" i="14"/>
  <c r="N5" i="14"/>
  <c r="K5" i="14"/>
  <c r="E5" i="14"/>
  <c r="T4" i="14"/>
  <c r="N4" i="14"/>
  <c r="K4" i="14"/>
  <c r="E4" i="14"/>
  <c r="T3" i="14"/>
  <c r="N3" i="14"/>
  <c r="K3" i="14"/>
  <c r="E3" i="14"/>
  <c r="T55" i="13"/>
  <c r="N55" i="13"/>
  <c r="K55" i="13"/>
  <c r="E55" i="13"/>
  <c r="T54" i="13"/>
  <c r="N54" i="13"/>
  <c r="K54" i="13"/>
  <c r="E54" i="13"/>
  <c r="T53" i="13"/>
  <c r="N53" i="13"/>
  <c r="K53" i="13"/>
  <c r="E53" i="13"/>
  <c r="T52" i="13"/>
  <c r="N52" i="13"/>
  <c r="K52" i="13"/>
  <c r="E52" i="13"/>
  <c r="T51" i="13"/>
  <c r="N51" i="13"/>
  <c r="K51" i="13"/>
  <c r="E51" i="13"/>
  <c r="T47" i="13"/>
  <c r="N47" i="13"/>
  <c r="K47" i="13"/>
  <c r="E47" i="13"/>
  <c r="T46" i="13"/>
  <c r="N46" i="13"/>
  <c r="K46" i="13"/>
  <c r="E46" i="13"/>
  <c r="T45" i="13"/>
  <c r="N45" i="13"/>
  <c r="K45" i="13"/>
  <c r="E45" i="13"/>
  <c r="T43" i="13"/>
  <c r="N43" i="13"/>
  <c r="K43" i="13"/>
  <c r="E43" i="13"/>
  <c r="T39" i="13"/>
  <c r="N39" i="13"/>
  <c r="K39" i="13"/>
  <c r="E39" i="13"/>
  <c r="T38" i="13"/>
  <c r="N38" i="13"/>
  <c r="K38" i="13"/>
  <c r="E38" i="13"/>
  <c r="T37" i="13"/>
  <c r="N37" i="13"/>
  <c r="K37" i="13"/>
  <c r="E37" i="13"/>
  <c r="T36" i="13"/>
  <c r="N36" i="13"/>
  <c r="K36" i="13"/>
  <c r="E36" i="13"/>
  <c r="T35" i="13"/>
  <c r="N35" i="13"/>
  <c r="K35" i="13"/>
  <c r="E35" i="13"/>
  <c r="T31" i="13"/>
  <c r="N31" i="13"/>
  <c r="K31" i="13"/>
  <c r="E31" i="13"/>
  <c r="T30" i="13"/>
  <c r="N30" i="13"/>
  <c r="K30" i="13"/>
  <c r="E30" i="13"/>
  <c r="T29" i="13"/>
  <c r="N29" i="13"/>
  <c r="K29" i="13"/>
  <c r="E29" i="13"/>
  <c r="T28" i="13"/>
  <c r="N28" i="13"/>
  <c r="K28" i="13"/>
  <c r="E28" i="13"/>
  <c r="T27" i="13"/>
  <c r="N27" i="13"/>
  <c r="K27" i="13"/>
  <c r="E27" i="13"/>
  <c r="T23" i="13"/>
  <c r="N23" i="13"/>
  <c r="K23" i="13"/>
  <c r="E23" i="13"/>
  <c r="T22" i="13"/>
  <c r="N22" i="13"/>
  <c r="K22" i="13"/>
  <c r="E22" i="13"/>
  <c r="T21" i="13"/>
  <c r="N21" i="13"/>
  <c r="K21" i="13"/>
  <c r="E21" i="13"/>
  <c r="T20" i="13"/>
  <c r="N20" i="13"/>
  <c r="K20" i="13"/>
  <c r="E20" i="13"/>
  <c r="T19" i="13"/>
  <c r="N19" i="13"/>
  <c r="K19" i="13"/>
  <c r="E19" i="13"/>
  <c r="T15" i="13"/>
  <c r="N15" i="13"/>
  <c r="K15" i="13"/>
  <c r="E15" i="13"/>
  <c r="T14" i="13"/>
  <c r="N14" i="13"/>
  <c r="K14" i="13"/>
  <c r="E14" i="13"/>
  <c r="T13" i="13"/>
  <c r="N13" i="13"/>
  <c r="K13" i="13"/>
  <c r="E13" i="13"/>
  <c r="T12" i="13"/>
  <c r="N12" i="13"/>
  <c r="K12" i="13"/>
  <c r="E12" i="13"/>
  <c r="T11" i="13"/>
  <c r="N11" i="13"/>
  <c r="K11" i="13"/>
  <c r="E11" i="13"/>
  <c r="T7" i="13"/>
  <c r="N7" i="13"/>
  <c r="K7" i="13"/>
  <c r="E7" i="13"/>
  <c r="T6" i="13"/>
  <c r="N6" i="13"/>
  <c r="K6" i="13"/>
  <c r="E6" i="13"/>
  <c r="T5" i="13"/>
  <c r="N5" i="13"/>
  <c r="K5" i="13"/>
  <c r="E5" i="13"/>
  <c r="T4" i="13"/>
  <c r="N4" i="13"/>
  <c r="K4" i="13"/>
  <c r="E4" i="13"/>
  <c r="T3" i="13"/>
  <c r="N3" i="13"/>
  <c r="K3" i="13"/>
  <c r="E3" i="13"/>
  <c r="T55" i="12"/>
  <c r="N55" i="12"/>
  <c r="K55" i="12"/>
  <c r="E55" i="12"/>
  <c r="T54" i="12"/>
  <c r="N54" i="12"/>
  <c r="K54" i="12"/>
  <c r="E54" i="12"/>
  <c r="T53" i="12"/>
  <c r="N53" i="12"/>
  <c r="K53" i="12"/>
  <c r="E53" i="12"/>
  <c r="T52" i="12"/>
  <c r="N52" i="12"/>
  <c r="K52" i="12"/>
  <c r="E52" i="12"/>
  <c r="T51" i="12"/>
  <c r="N51" i="12"/>
  <c r="K51" i="12"/>
  <c r="E51" i="12"/>
  <c r="T47" i="12"/>
  <c r="N47" i="12"/>
  <c r="K47" i="12"/>
  <c r="E47" i="12"/>
  <c r="T46" i="12"/>
  <c r="N46" i="12"/>
  <c r="K46" i="12"/>
  <c r="E46" i="12"/>
  <c r="T45" i="12"/>
  <c r="N45" i="12"/>
  <c r="K45" i="12"/>
  <c r="E45" i="12"/>
  <c r="T43" i="12"/>
  <c r="N43" i="12"/>
  <c r="K43" i="12"/>
  <c r="E43" i="12"/>
  <c r="T39" i="12"/>
  <c r="N39" i="12"/>
  <c r="K39" i="12"/>
  <c r="E39" i="12"/>
  <c r="T38" i="12"/>
  <c r="N38" i="12"/>
  <c r="K38" i="12"/>
  <c r="E38" i="12"/>
  <c r="T37" i="12"/>
  <c r="N37" i="12"/>
  <c r="K37" i="12"/>
  <c r="E37" i="12"/>
  <c r="T36" i="12"/>
  <c r="N36" i="12"/>
  <c r="K36" i="12"/>
  <c r="E36" i="12"/>
  <c r="T35" i="12"/>
  <c r="N35" i="12"/>
  <c r="K35" i="12"/>
  <c r="E35" i="12"/>
  <c r="T31" i="12"/>
  <c r="N31" i="12"/>
  <c r="K31" i="12"/>
  <c r="E31" i="12"/>
  <c r="T30" i="12"/>
  <c r="N30" i="12"/>
  <c r="K30" i="12"/>
  <c r="E30" i="12"/>
  <c r="T29" i="12"/>
  <c r="N29" i="12"/>
  <c r="K29" i="12"/>
  <c r="E29" i="12"/>
  <c r="T28" i="12"/>
  <c r="N28" i="12"/>
  <c r="K28" i="12"/>
  <c r="E28" i="12"/>
  <c r="T27" i="12"/>
  <c r="N27" i="12"/>
  <c r="K27" i="12"/>
  <c r="E27" i="12"/>
  <c r="T23" i="12"/>
  <c r="N23" i="12"/>
  <c r="K23" i="12"/>
  <c r="E23" i="12"/>
  <c r="T22" i="12"/>
  <c r="N22" i="12"/>
  <c r="K22" i="12"/>
  <c r="E22" i="12"/>
  <c r="T21" i="12"/>
  <c r="N21" i="12"/>
  <c r="K21" i="12"/>
  <c r="E21" i="12"/>
  <c r="T20" i="12"/>
  <c r="N20" i="12"/>
  <c r="K20" i="12"/>
  <c r="E20" i="12"/>
  <c r="T19" i="12"/>
  <c r="N19" i="12"/>
  <c r="K19" i="12"/>
  <c r="E19" i="12"/>
  <c r="T15" i="12"/>
  <c r="N15" i="12"/>
  <c r="K15" i="12"/>
  <c r="E15" i="12"/>
  <c r="T14" i="12"/>
  <c r="N14" i="12"/>
  <c r="K14" i="12"/>
  <c r="E14" i="12"/>
  <c r="T13" i="12"/>
  <c r="N13" i="12"/>
  <c r="K13" i="12"/>
  <c r="E13" i="12"/>
  <c r="T12" i="12"/>
  <c r="N12" i="12"/>
  <c r="K12" i="12"/>
  <c r="E12" i="12"/>
  <c r="T11" i="12"/>
  <c r="N11" i="12"/>
  <c r="K11" i="12"/>
  <c r="E11" i="12"/>
  <c r="T7" i="12"/>
  <c r="N7" i="12"/>
  <c r="K7" i="12"/>
  <c r="E7" i="12"/>
  <c r="T6" i="12"/>
  <c r="N6" i="12"/>
  <c r="K6" i="12"/>
  <c r="E6" i="12"/>
  <c r="T5" i="12"/>
  <c r="N5" i="12"/>
  <c r="K5" i="12"/>
  <c r="E5" i="12"/>
  <c r="T4" i="12"/>
  <c r="N4" i="12"/>
  <c r="K4" i="12"/>
  <c r="E4" i="12"/>
  <c r="T3" i="12"/>
  <c r="N3" i="12"/>
  <c r="K3" i="12"/>
  <c r="E3" i="12"/>
  <c r="T55" i="11"/>
  <c r="N55" i="11"/>
  <c r="K55" i="11"/>
  <c r="E55" i="11"/>
  <c r="T54" i="11"/>
  <c r="N54" i="11"/>
  <c r="K54" i="11"/>
  <c r="E54" i="11"/>
  <c r="T53" i="11"/>
  <c r="N53" i="11"/>
  <c r="K53" i="11"/>
  <c r="E53" i="11"/>
  <c r="T52" i="11"/>
  <c r="N52" i="11"/>
  <c r="K52" i="11"/>
  <c r="E52" i="11"/>
  <c r="T51" i="11"/>
  <c r="N51" i="11"/>
  <c r="K51" i="11"/>
  <c r="E51" i="11"/>
  <c r="T47" i="11"/>
  <c r="N47" i="11"/>
  <c r="K47" i="11"/>
  <c r="E47" i="11"/>
  <c r="T46" i="11"/>
  <c r="N46" i="11"/>
  <c r="K46" i="11"/>
  <c r="E46" i="11"/>
  <c r="T45" i="11"/>
  <c r="N45" i="11"/>
  <c r="K45" i="11"/>
  <c r="E45" i="11"/>
  <c r="T43" i="11"/>
  <c r="N43" i="11"/>
  <c r="K43" i="11"/>
  <c r="E43" i="11"/>
  <c r="T39" i="11"/>
  <c r="N39" i="11"/>
  <c r="K39" i="11"/>
  <c r="E39" i="11"/>
  <c r="T38" i="11"/>
  <c r="N38" i="11"/>
  <c r="K38" i="11"/>
  <c r="E38" i="11"/>
  <c r="T37" i="11"/>
  <c r="N37" i="11"/>
  <c r="K37" i="11"/>
  <c r="E37" i="11"/>
  <c r="T36" i="11"/>
  <c r="N36" i="11"/>
  <c r="K36" i="11"/>
  <c r="E36" i="11"/>
  <c r="T35" i="11"/>
  <c r="N35" i="11"/>
  <c r="K35" i="11"/>
  <c r="E35" i="11"/>
  <c r="T31" i="11"/>
  <c r="N31" i="11"/>
  <c r="K31" i="11"/>
  <c r="E31" i="11"/>
  <c r="T30" i="11"/>
  <c r="N30" i="11"/>
  <c r="K30" i="11"/>
  <c r="E30" i="11"/>
  <c r="T29" i="11"/>
  <c r="N29" i="11"/>
  <c r="K29" i="11"/>
  <c r="E29" i="11"/>
  <c r="T28" i="11"/>
  <c r="N28" i="11"/>
  <c r="K28" i="11"/>
  <c r="E28" i="11"/>
  <c r="T27" i="11"/>
  <c r="N27" i="11"/>
  <c r="K27" i="11"/>
  <c r="E27" i="11"/>
  <c r="T23" i="11"/>
  <c r="N23" i="11"/>
  <c r="K23" i="11"/>
  <c r="E23" i="11"/>
  <c r="T22" i="11"/>
  <c r="N22" i="11"/>
  <c r="K22" i="11"/>
  <c r="E22" i="11"/>
  <c r="T21" i="11"/>
  <c r="N21" i="11"/>
  <c r="K21" i="11"/>
  <c r="E21" i="11"/>
  <c r="T20" i="11"/>
  <c r="N20" i="11"/>
  <c r="K20" i="11"/>
  <c r="E20" i="11"/>
  <c r="T19" i="11"/>
  <c r="N19" i="11"/>
  <c r="K19" i="11"/>
  <c r="E19" i="11"/>
  <c r="T15" i="11"/>
  <c r="N15" i="11"/>
  <c r="K15" i="11"/>
  <c r="E15" i="11"/>
  <c r="T14" i="11"/>
  <c r="N14" i="11"/>
  <c r="K14" i="11"/>
  <c r="E14" i="11"/>
  <c r="T13" i="11"/>
  <c r="N13" i="11"/>
  <c r="K13" i="11"/>
  <c r="E13" i="11"/>
  <c r="T12" i="11"/>
  <c r="N12" i="11"/>
  <c r="K12" i="11"/>
  <c r="E12" i="11"/>
  <c r="T11" i="11"/>
  <c r="N11" i="11"/>
  <c r="K11" i="11"/>
  <c r="E11" i="11"/>
  <c r="T7" i="11"/>
  <c r="N7" i="11"/>
  <c r="K7" i="11"/>
  <c r="E7" i="11"/>
  <c r="T6" i="11"/>
  <c r="N6" i="11"/>
  <c r="K6" i="11"/>
  <c r="E6" i="11"/>
  <c r="T5" i="11"/>
  <c r="N5" i="11"/>
  <c r="K5" i="11"/>
  <c r="E5" i="11"/>
  <c r="T4" i="11"/>
  <c r="N4" i="11"/>
  <c r="K4" i="11"/>
  <c r="E4" i="11"/>
  <c r="T3" i="11"/>
  <c r="N3" i="11"/>
  <c r="K3" i="11"/>
  <c r="E3" i="11"/>
  <c r="T55" i="10"/>
  <c r="N55" i="10"/>
  <c r="K55" i="10"/>
  <c r="E55" i="10"/>
  <c r="T54" i="10"/>
  <c r="N54" i="10"/>
  <c r="K54" i="10"/>
  <c r="E54" i="10"/>
  <c r="T53" i="10"/>
  <c r="N53" i="10"/>
  <c r="K53" i="10"/>
  <c r="E53" i="10"/>
  <c r="T52" i="10"/>
  <c r="N52" i="10"/>
  <c r="K52" i="10"/>
  <c r="E52" i="10"/>
  <c r="T51" i="10"/>
  <c r="N51" i="10"/>
  <c r="K51" i="10"/>
  <c r="E51" i="10"/>
  <c r="T47" i="10"/>
  <c r="N47" i="10"/>
  <c r="K47" i="10"/>
  <c r="E47" i="10"/>
  <c r="T46" i="10"/>
  <c r="N46" i="10"/>
  <c r="K46" i="10"/>
  <c r="E46" i="10"/>
  <c r="T45" i="10"/>
  <c r="N45" i="10"/>
  <c r="K45" i="10"/>
  <c r="E45" i="10"/>
  <c r="T43" i="10"/>
  <c r="N43" i="10"/>
  <c r="K43" i="10"/>
  <c r="E43" i="10"/>
  <c r="T39" i="10"/>
  <c r="N39" i="10"/>
  <c r="K39" i="10"/>
  <c r="E39" i="10"/>
  <c r="T38" i="10"/>
  <c r="N38" i="10"/>
  <c r="K38" i="10"/>
  <c r="E38" i="10"/>
  <c r="T37" i="10"/>
  <c r="N37" i="10"/>
  <c r="K37" i="10"/>
  <c r="E37" i="10"/>
  <c r="T36" i="10"/>
  <c r="N36" i="10"/>
  <c r="K36" i="10"/>
  <c r="E36" i="10"/>
  <c r="T35" i="10"/>
  <c r="N35" i="10"/>
  <c r="K35" i="10"/>
  <c r="E35" i="10"/>
  <c r="T31" i="10"/>
  <c r="N31" i="10"/>
  <c r="K31" i="10"/>
  <c r="E31" i="10"/>
  <c r="T30" i="10"/>
  <c r="N30" i="10"/>
  <c r="K30" i="10"/>
  <c r="E30" i="10"/>
  <c r="T29" i="10"/>
  <c r="N29" i="10"/>
  <c r="K29" i="10"/>
  <c r="E29" i="10"/>
  <c r="T28" i="10"/>
  <c r="N28" i="10"/>
  <c r="K28" i="10"/>
  <c r="E28" i="10"/>
  <c r="T27" i="10"/>
  <c r="N27" i="10"/>
  <c r="K27" i="10"/>
  <c r="E27" i="10"/>
  <c r="T23" i="10"/>
  <c r="N23" i="10"/>
  <c r="K23" i="10"/>
  <c r="E23" i="10"/>
  <c r="T22" i="10"/>
  <c r="N22" i="10"/>
  <c r="K22" i="10"/>
  <c r="E22" i="10"/>
  <c r="T21" i="10"/>
  <c r="N21" i="10"/>
  <c r="K21" i="10"/>
  <c r="E21" i="10"/>
  <c r="T20" i="10"/>
  <c r="N20" i="10"/>
  <c r="K20" i="10"/>
  <c r="E20" i="10"/>
  <c r="T19" i="10"/>
  <c r="N19" i="10"/>
  <c r="K19" i="10"/>
  <c r="E19" i="10"/>
  <c r="T15" i="10"/>
  <c r="N15" i="10"/>
  <c r="K15" i="10"/>
  <c r="E15" i="10"/>
  <c r="T14" i="10"/>
  <c r="N14" i="10"/>
  <c r="K14" i="10"/>
  <c r="E14" i="10"/>
  <c r="T13" i="10"/>
  <c r="N13" i="10"/>
  <c r="K13" i="10"/>
  <c r="E13" i="10"/>
  <c r="T12" i="10"/>
  <c r="N12" i="10"/>
  <c r="K12" i="10"/>
  <c r="E12" i="10"/>
  <c r="T11" i="10"/>
  <c r="N11" i="10"/>
  <c r="K11" i="10"/>
  <c r="E11" i="10"/>
  <c r="T7" i="10"/>
  <c r="N7" i="10"/>
  <c r="K7" i="10"/>
  <c r="E7" i="10"/>
  <c r="T6" i="10"/>
  <c r="N6" i="10"/>
  <c r="K6" i="10"/>
  <c r="E6" i="10"/>
  <c r="T5" i="10"/>
  <c r="N5" i="10"/>
  <c r="K5" i="10"/>
  <c r="E5" i="10"/>
  <c r="T4" i="10"/>
  <c r="N4" i="10"/>
  <c r="K4" i="10"/>
  <c r="E4" i="10"/>
  <c r="T3" i="10"/>
  <c r="N3" i="10"/>
  <c r="K3" i="10"/>
  <c r="E3" i="10"/>
  <c r="T55" i="9"/>
  <c r="N55" i="9"/>
  <c r="K55" i="9"/>
  <c r="E55" i="9"/>
  <c r="T54" i="9"/>
  <c r="N54" i="9"/>
  <c r="K54" i="9"/>
  <c r="E54" i="9"/>
  <c r="T53" i="9"/>
  <c r="N53" i="9"/>
  <c r="K53" i="9"/>
  <c r="E53" i="9"/>
  <c r="T52" i="9"/>
  <c r="N52" i="9"/>
  <c r="K52" i="9"/>
  <c r="E52" i="9"/>
  <c r="T51" i="9"/>
  <c r="N51" i="9"/>
  <c r="K51" i="9"/>
  <c r="E51" i="9"/>
  <c r="T47" i="9"/>
  <c r="N47" i="9"/>
  <c r="K47" i="9"/>
  <c r="E47" i="9"/>
  <c r="T46" i="9"/>
  <c r="N46" i="9"/>
  <c r="K46" i="9"/>
  <c r="E46" i="9"/>
  <c r="T45" i="9"/>
  <c r="N45" i="9"/>
  <c r="K45" i="9"/>
  <c r="E45" i="9"/>
  <c r="T43" i="9"/>
  <c r="N43" i="9"/>
  <c r="K43" i="9"/>
  <c r="E43" i="9"/>
  <c r="T39" i="9"/>
  <c r="N39" i="9"/>
  <c r="K39" i="9"/>
  <c r="E39" i="9"/>
  <c r="T38" i="9"/>
  <c r="N38" i="9"/>
  <c r="K38" i="9"/>
  <c r="E38" i="9"/>
  <c r="T37" i="9"/>
  <c r="N37" i="9"/>
  <c r="K37" i="9"/>
  <c r="E37" i="9"/>
  <c r="T36" i="9"/>
  <c r="N36" i="9"/>
  <c r="K36" i="9"/>
  <c r="E36" i="9"/>
  <c r="T35" i="9"/>
  <c r="N35" i="9"/>
  <c r="K35" i="9"/>
  <c r="E35" i="9"/>
  <c r="T31" i="9"/>
  <c r="N31" i="9"/>
  <c r="K31" i="9"/>
  <c r="E31" i="9"/>
  <c r="T30" i="9"/>
  <c r="N30" i="9"/>
  <c r="K30" i="9"/>
  <c r="E30" i="9"/>
  <c r="T29" i="9"/>
  <c r="N29" i="9"/>
  <c r="K29" i="9"/>
  <c r="E29" i="9"/>
  <c r="T28" i="9"/>
  <c r="N28" i="9"/>
  <c r="K28" i="9"/>
  <c r="E28" i="9"/>
  <c r="T27" i="9"/>
  <c r="N27" i="9"/>
  <c r="K27" i="9"/>
  <c r="E27" i="9"/>
  <c r="T23" i="9"/>
  <c r="N23" i="9"/>
  <c r="K23" i="9"/>
  <c r="E23" i="9"/>
  <c r="T22" i="9"/>
  <c r="N22" i="9"/>
  <c r="K22" i="9"/>
  <c r="E22" i="9"/>
  <c r="T21" i="9"/>
  <c r="N21" i="9"/>
  <c r="K21" i="9"/>
  <c r="E21" i="9"/>
  <c r="T20" i="9"/>
  <c r="N20" i="9"/>
  <c r="K20" i="9"/>
  <c r="E20" i="9"/>
  <c r="T19" i="9"/>
  <c r="N19" i="9"/>
  <c r="K19" i="9"/>
  <c r="E19" i="9"/>
  <c r="T15" i="9"/>
  <c r="N15" i="9"/>
  <c r="K15" i="9"/>
  <c r="E15" i="9"/>
  <c r="T14" i="9"/>
  <c r="N14" i="9"/>
  <c r="K14" i="9"/>
  <c r="E14" i="9"/>
  <c r="T13" i="9"/>
  <c r="N13" i="9"/>
  <c r="K13" i="9"/>
  <c r="E13" i="9"/>
  <c r="T12" i="9"/>
  <c r="N12" i="9"/>
  <c r="K12" i="9"/>
  <c r="E12" i="9"/>
  <c r="T11" i="9"/>
  <c r="N11" i="9"/>
  <c r="K11" i="9"/>
  <c r="E11" i="9"/>
  <c r="T7" i="9"/>
  <c r="N7" i="9"/>
  <c r="K7" i="9"/>
  <c r="E7" i="9"/>
  <c r="T6" i="9"/>
  <c r="N6" i="9"/>
  <c r="K6" i="9"/>
  <c r="E6" i="9"/>
  <c r="T5" i="9"/>
  <c r="N5" i="9"/>
  <c r="K5" i="9"/>
  <c r="E5" i="9"/>
  <c r="T4" i="9"/>
  <c r="N4" i="9"/>
  <c r="K4" i="9"/>
  <c r="E4" i="9"/>
  <c r="T3" i="9"/>
  <c r="N3" i="9"/>
  <c r="K3" i="9"/>
  <c r="E3" i="9"/>
  <c r="T55" i="8"/>
  <c r="N55" i="8"/>
  <c r="K55" i="8"/>
  <c r="E55" i="8"/>
  <c r="T54" i="8"/>
  <c r="N54" i="8"/>
  <c r="K54" i="8"/>
  <c r="E54" i="8"/>
  <c r="T53" i="8"/>
  <c r="N53" i="8"/>
  <c r="K53" i="8"/>
  <c r="E53" i="8"/>
  <c r="T52" i="8"/>
  <c r="N52" i="8"/>
  <c r="K52" i="8"/>
  <c r="E52" i="8"/>
  <c r="T51" i="8"/>
  <c r="N51" i="8"/>
  <c r="K51" i="8"/>
  <c r="E51" i="8"/>
  <c r="T47" i="8"/>
  <c r="N47" i="8"/>
  <c r="K47" i="8"/>
  <c r="E47" i="8"/>
  <c r="T46" i="8"/>
  <c r="N46" i="8"/>
  <c r="K46" i="8"/>
  <c r="E46" i="8"/>
  <c r="T45" i="8"/>
  <c r="N45" i="8"/>
  <c r="K45" i="8"/>
  <c r="E45" i="8"/>
  <c r="T43" i="8"/>
  <c r="N43" i="8"/>
  <c r="K43" i="8"/>
  <c r="E43" i="8"/>
  <c r="T39" i="8"/>
  <c r="N39" i="8"/>
  <c r="K39" i="8"/>
  <c r="E39" i="8"/>
  <c r="T38" i="8"/>
  <c r="N38" i="8"/>
  <c r="K38" i="8"/>
  <c r="E38" i="8"/>
  <c r="T37" i="8"/>
  <c r="N37" i="8"/>
  <c r="K37" i="8"/>
  <c r="E37" i="8"/>
  <c r="T36" i="8"/>
  <c r="N36" i="8"/>
  <c r="K36" i="8"/>
  <c r="E36" i="8"/>
  <c r="T35" i="8"/>
  <c r="N35" i="8"/>
  <c r="K35" i="8"/>
  <c r="E35" i="8"/>
  <c r="T31" i="8"/>
  <c r="N31" i="8"/>
  <c r="K31" i="8"/>
  <c r="E31" i="8"/>
  <c r="T30" i="8"/>
  <c r="N30" i="8"/>
  <c r="K30" i="8"/>
  <c r="E30" i="8"/>
  <c r="T29" i="8"/>
  <c r="N29" i="8"/>
  <c r="K29" i="8"/>
  <c r="E29" i="8"/>
  <c r="T28" i="8"/>
  <c r="N28" i="8"/>
  <c r="K28" i="8"/>
  <c r="E28" i="8"/>
  <c r="T27" i="8"/>
  <c r="N27" i="8"/>
  <c r="K27" i="8"/>
  <c r="E27" i="8"/>
  <c r="T23" i="8"/>
  <c r="N23" i="8"/>
  <c r="K23" i="8"/>
  <c r="E23" i="8"/>
  <c r="T22" i="8"/>
  <c r="N22" i="8"/>
  <c r="K22" i="8"/>
  <c r="E22" i="8"/>
  <c r="T21" i="8"/>
  <c r="N21" i="8"/>
  <c r="K21" i="8"/>
  <c r="E21" i="8"/>
  <c r="T20" i="8"/>
  <c r="N20" i="8"/>
  <c r="K20" i="8"/>
  <c r="E20" i="8"/>
  <c r="T19" i="8"/>
  <c r="N19" i="8"/>
  <c r="K19" i="8"/>
  <c r="E19" i="8"/>
  <c r="T15" i="8"/>
  <c r="N15" i="8"/>
  <c r="K15" i="8"/>
  <c r="E15" i="8"/>
  <c r="T14" i="8"/>
  <c r="N14" i="8"/>
  <c r="K14" i="8"/>
  <c r="E14" i="8"/>
  <c r="T13" i="8"/>
  <c r="N13" i="8"/>
  <c r="K13" i="8"/>
  <c r="E13" i="8"/>
  <c r="T12" i="8"/>
  <c r="N12" i="8"/>
  <c r="K12" i="8"/>
  <c r="E12" i="8"/>
  <c r="T11" i="8"/>
  <c r="N11" i="8"/>
  <c r="K11" i="8"/>
  <c r="E11" i="8"/>
  <c r="T7" i="8"/>
  <c r="N7" i="8"/>
  <c r="K7" i="8"/>
  <c r="E7" i="8"/>
  <c r="T6" i="8"/>
  <c r="N6" i="8"/>
  <c r="K6" i="8"/>
  <c r="E6" i="8"/>
  <c r="T5" i="8"/>
  <c r="N5" i="8"/>
  <c r="K5" i="8"/>
  <c r="E5" i="8"/>
  <c r="T4" i="8"/>
  <c r="N4" i="8"/>
  <c r="K4" i="8"/>
  <c r="E4" i="8"/>
  <c r="T3" i="8"/>
  <c r="N3" i="8"/>
  <c r="K3" i="8"/>
  <c r="E3" i="8"/>
  <c r="T55" i="7"/>
  <c r="N55" i="7"/>
  <c r="K55" i="7"/>
  <c r="E55" i="7"/>
  <c r="T54" i="7"/>
  <c r="N54" i="7"/>
  <c r="K54" i="7"/>
  <c r="E54" i="7"/>
  <c r="T53" i="7"/>
  <c r="N53" i="7"/>
  <c r="K53" i="7"/>
  <c r="E53" i="7"/>
  <c r="T52" i="7"/>
  <c r="N52" i="7"/>
  <c r="K52" i="7"/>
  <c r="E52" i="7"/>
  <c r="T51" i="7"/>
  <c r="N51" i="7"/>
  <c r="K51" i="7"/>
  <c r="E51" i="7"/>
  <c r="T47" i="7"/>
  <c r="N47" i="7"/>
  <c r="K47" i="7"/>
  <c r="E47" i="7"/>
  <c r="T46" i="7"/>
  <c r="N46" i="7"/>
  <c r="K46" i="7"/>
  <c r="E46" i="7"/>
  <c r="T45" i="7"/>
  <c r="N45" i="7"/>
  <c r="K45" i="7"/>
  <c r="E45" i="7"/>
  <c r="T43" i="7"/>
  <c r="N43" i="7"/>
  <c r="K43" i="7"/>
  <c r="E43" i="7"/>
  <c r="T39" i="7"/>
  <c r="N39" i="7"/>
  <c r="K39" i="7"/>
  <c r="E39" i="7"/>
  <c r="T38" i="7"/>
  <c r="N38" i="7"/>
  <c r="K38" i="7"/>
  <c r="E38" i="7"/>
  <c r="T37" i="7"/>
  <c r="N37" i="7"/>
  <c r="K37" i="7"/>
  <c r="E37" i="7"/>
  <c r="T36" i="7"/>
  <c r="N36" i="7"/>
  <c r="K36" i="7"/>
  <c r="E36" i="7"/>
  <c r="T35" i="7"/>
  <c r="N35" i="7"/>
  <c r="K35" i="7"/>
  <c r="E35" i="7"/>
  <c r="T31" i="7"/>
  <c r="N31" i="7"/>
  <c r="K31" i="7"/>
  <c r="E31" i="7"/>
  <c r="T30" i="7"/>
  <c r="N30" i="7"/>
  <c r="K30" i="7"/>
  <c r="E30" i="7"/>
  <c r="T29" i="7"/>
  <c r="N29" i="7"/>
  <c r="K29" i="7"/>
  <c r="E29" i="7"/>
  <c r="T28" i="7"/>
  <c r="N28" i="7"/>
  <c r="K28" i="7"/>
  <c r="E28" i="7"/>
  <c r="T27" i="7"/>
  <c r="N27" i="7"/>
  <c r="K27" i="7"/>
  <c r="E27" i="7"/>
  <c r="T23" i="7"/>
  <c r="N23" i="7"/>
  <c r="K23" i="7"/>
  <c r="E23" i="7"/>
  <c r="T22" i="7"/>
  <c r="N22" i="7"/>
  <c r="K22" i="7"/>
  <c r="E22" i="7"/>
  <c r="T21" i="7"/>
  <c r="N21" i="7"/>
  <c r="K21" i="7"/>
  <c r="E21" i="7"/>
  <c r="T20" i="7"/>
  <c r="N20" i="7"/>
  <c r="K20" i="7"/>
  <c r="E20" i="7"/>
  <c r="T19" i="7"/>
  <c r="N19" i="7"/>
  <c r="K19" i="7"/>
  <c r="E19" i="7"/>
  <c r="T15" i="7"/>
  <c r="N15" i="7"/>
  <c r="K15" i="7"/>
  <c r="E15" i="7"/>
  <c r="T14" i="7"/>
  <c r="N14" i="7"/>
  <c r="K14" i="7"/>
  <c r="E14" i="7"/>
  <c r="T13" i="7"/>
  <c r="N13" i="7"/>
  <c r="K13" i="7"/>
  <c r="E13" i="7"/>
  <c r="T12" i="7"/>
  <c r="N12" i="7"/>
  <c r="K12" i="7"/>
  <c r="E12" i="7"/>
  <c r="T11" i="7"/>
  <c r="N11" i="7"/>
  <c r="K11" i="7"/>
  <c r="E11" i="7"/>
  <c r="T7" i="7"/>
  <c r="N7" i="7"/>
  <c r="K7" i="7"/>
  <c r="E7" i="7"/>
  <c r="T6" i="7"/>
  <c r="N6" i="7"/>
  <c r="K6" i="7"/>
  <c r="E6" i="7"/>
  <c r="T5" i="7"/>
  <c r="N5" i="7"/>
  <c r="K5" i="7"/>
  <c r="E5" i="7"/>
  <c r="T4" i="7"/>
  <c r="N4" i="7"/>
  <c r="K4" i="7"/>
  <c r="E4" i="7"/>
  <c r="T3" i="7"/>
  <c r="N3" i="7"/>
  <c r="K3" i="7"/>
  <c r="E3" i="7"/>
  <c r="T55" i="6"/>
  <c r="N55" i="6"/>
  <c r="K55" i="6"/>
  <c r="E55" i="6"/>
  <c r="T54" i="6"/>
  <c r="N54" i="6"/>
  <c r="K54" i="6"/>
  <c r="E54" i="6"/>
  <c r="T53" i="6"/>
  <c r="N53" i="6"/>
  <c r="K53" i="6"/>
  <c r="E53" i="6"/>
  <c r="T52" i="6"/>
  <c r="N52" i="6"/>
  <c r="K52" i="6"/>
  <c r="E52" i="6"/>
  <c r="T51" i="6"/>
  <c r="N51" i="6"/>
  <c r="K51" i="6"/>
  <c r="E51" i="6"/>
  <c r="T47" i="6"/>
  <c r="N47" i="6"/>
  <c r="K47" i="6"/>
  <c r="E47" i="6"/>
  <c r="T46" i="6"/>
  <c r="N46" i="6"/>
  <c r="K46" i="6"/>
  <c r="E46" i="6"/>
  <c r="T45" i="6"/>
  <c r="N45" i="6"/>
  <c r="K45" i="6"/>
  <c r="E45" i="6"/>
  <c r="T43" i="6"/>
  <c r="N43" i="6"/>
  <c r="K43" i="6"/>
  <c r="E43" i="6"/>
  <c r="T39" i="6"/>
  <c r="N39" i="6"/>
  <c r="K39" i="6"/>
  <c r="E39" i="6"/>
  <c r="T38" i="6"/>
  <c r="N38" i="6"/>
  <c r="K38" i="6"/>
  <c r="E38" i="6"/>
  <c r="T37" i="6"/>
  <c r="N37" i="6"/>
  <c r="K37" i="6"/>
  <c r="E37" i="6"/>
  <c r="T36" i="6"/>
  <c r="N36" i="6"/>
  <c r="K36" i="6"/>
  <c r="E36" i="6"/>
  <c r="T35" i="6"/>
  <c r="N35" i="6"/>
  <c r="K35" i="6"/>
  <c r="E35" i="6"/>
  <c r="T31" i="6"/>
  <c r="N31" i="6"/>
  <c r="K31" i="6"/>
  <c r="E31" i="6"/>
  <c r="T30" i="6"/>
  <c r="N30" i="6"/>
  <c r="K30" i="6"/>
  <c r="E30" i="6"/>
  <c r="T29" i="6"/>
  <c r="N29" i="6"/>
  <c r="K29" i="6"/>
  <c r="E29" i="6"/>
  <c r="T28" i="6"/>
  <c r="N28" i="6"/>
  <c r="K28" i="6"/>
  <c r="E28" i="6"/>
  <c r="T27" i="6"/>
  <c r="N27" i="6"/>
  <c r="K27" i="6"/>
  <c r="E27" i="6"/>
  <c r="T23" i="6"/>
  <c r="N23" i="6"/>
  <c r="K23" i="6"/>
  <c r="E23" i="6"/>
  <c r="T22" i="6"/>
  <c r="N22" i="6"/>
  <c r="K22" i="6"/>
  <c r="E22" i="6"/>
  <c r="T21" i="6"/>
  <c r="N21" i="6"/>
  <c r="K21" i="6"/>
  <c r="E21" i="6"/>
  <c r="T20" i="6"/>
  <c r="N20" i="6"/>
  <c r="K20" i="6"/>
  <c r="E20" i="6"/>
  <c r="T19" i="6"/>
  <c r="N19" i="6"/>
  <c r="K19" i="6"/>
  <c r="E19" i="6"/>
  <c r="T15" i="6"/>
  <c r="N15" i="6"/>
  <c r="K15" i="6"/>
  <c r="E15" i="6"/>
  <c r="T14" i="6"/>
  <c r="N14" i="6"/>
  <c r="K14" i="6"/>
  <c r="E14" i="6"/>
  <c r="T13" i="6"/>
  <c r="N13" i="6"/>
  <c r="K13" i="6"/>
  <c r="E13" i="6"/>
  <c r="T12" i="6"/>
  <c r="N12" i="6"/>
  <c r="K12" i="6"/>
  <c r="E12" i="6"/>
  <c r="T11" i="6"/>
  <c r="N11" i="6"/>
  <c r="K11" i="6"/>
  <c r="E11" i="6"/>
  <c r="T7" i="6"/>
  <c r="N7" i="6"/>
  <c r="K7" i="6"/>
  <c r="E7" i="6"/>
  <c r="T6" i="6"/>
  <c r="N6" i="6"/>
  <c r="K6" i="6"/>
  <c r="E6" i="6"/>
  <c r="T5" i="6"/>
  <c r="N5" i="6"/>
  <c r="K5" i="6"/>
  <c r="E5" i="6"/>
  <c r="T4" i="6"/>
  <c r="N4" i="6"/>
  <c r="K4" i="6"/>
  <c r="E4" i="6"/>
  <c r="T3" i="6"/>
  <c r="N3" i="6"/>
  <c r="K3" i="6"/>
  <c r="E3" i="6"/>
  <c r="T55" i="5"/>
  <c r="N55" i="5"/>
  <c r="K55" i="5"/>
  <c r="E55" i="5"/>
  <c r="T54" i="5"/>
  <c r="N54" i="5"/>
  <c r="K54" i="5"/>
  <c r="E54" i="5"/>
  <c r="T53" i="5"/>
  <c r="N53" i="5"/>
  <c r="K53" i="5"/>
  <c r="E53" i="5"/>
  <c r="T52" i="5"/>
  <c r="N52" i="5"/>
  <c r="K52" i="5"/>
  <c r="E52" i="5"/>
  <c r="T51" i="5"/>
  <c r="N51" i="5"/>
  <c r="K51" i="5"/>
  <c r="E51" i="5"/>
  <c r="T47" i="5"/>
  <c r="N47" i="5"/>
  <c r="K47" i="5"/>
  <c r="E47" i="5"/>
  <c r="T46" i="5"/>
  <c r="N46" i="5"/>
  <c r="K46" i="5"/>
  <c r="E46" i="5"/>
  <c r="T45" i="5"/>
  <c r="N45" i="5"/>
  <c r="K45" i="5"/>
  <c r="E45" i="5"/>
  <c r="T43" i="5"/>
  <c r="N43" i="5"/>
  <c r="K43" i="5"/>
  <c r="E43" i="5"/>
  <c r="T39" i="5"/>
  <c r="N39" i="5"/>
  <c r="K39" i="5"/>
  <c r="E39" i="5"/>
  <c r="T38" i="5"/>
  <c r="N38" i="5"/>
  <c r="K38" i="5"/>
  <c r="E38" i="5"/>
  <c r="T37" i="5"/>
  <c r="N37" i="5"/>
  <c r="K37" i="5"/>
  <c r="E37" i="5"/>
  <c r="T36" i="5"/>
  <c r="N36" i="5"/>
  <c r="K36" i="5"/>
  <c r="E36" i="5"/>
  <c r="T35" i="5"/>
  <c r="N35" i="5"/>
  <c r="K35" i="5"/>
  <c r="E35" i="5"/>
  <c r="T31" i="5"/>
  <c r="N31" i="5"/>
  <c r="K31" i="5"/>
  <c r="E31" i="5"/>
  <c r="T30" i="5"/>
  <c r="N30" i="5"/>
  <c r="K30" i="5"/>
  <c r="E30" i="5"/>
  <c r="T29" i="5"/>
  <c r="N29" i="5"/>
  <c r="K29" i="5"/>
  <c r="E29" i="5"/>
  <c r="T28" i="5"/>
  <c r="N28" i="5"/>
  <c r="K28" i="5"/>
  <c r="E28" i="5"/>
  <c r="T27" i="5"/>
  <c r="N27" i="5"/>
  <c r="K27" i="5"/>
  <c r="E27" i="5"/>
  <c r="T23" i="5"/>
  <c r="N23" i="5"/>
  <c r="K23" i="5"/>
  <c r="E23" i="5"/>
  <c r="T22" i="5"/>
  <c r="N22" i="5"/>
  <c r="K22" i="5"/>
  <c r="E22" i="5"/>
  <c r="T21" i="5"/>
  <c r="N21" i="5"/>
  <c r="K21" i="5"/>
  <c r="E21" i="5"/>
  <c r="T20" i="5"/>
  <c r="N20" i="5"/>
  <c r="K20" i="5"/>
  <c r="E20" i="5"/>
  <c r="T19" i="5"/>
  <c r="N19" i="5"/>
  <c r="K19" i="5"/>
  <c r="E19" i="5"/>
  <c r="T15" i="5"/>
  <c r="N15" i="5"/>
  <c r="K15" i="5"/>
  <c r="E15" i="5"/>
  <c r="T14" i="5"/>
  <c r="N14" i="5"/>
  <c r="K14" i="5"/>
  <c r="E14" i="5"/>
  <c r="T13" i="5"/>
  <c r="N13" i="5"/>
  <c r="K13" i="5"/>
  <c r="E13" i="5"/>
  <c r="T12" i="5"/>
  <c r="N12" i="5"/>
  <c r="K12" i="5"/>
  <c r="E12" i="5"/>
  <c r="T11" i="5"/>
  <c r="N11" i="5"/>
  <c r="K11" i="5"/>
  <c r="E11" i="5"/>
  <c r="T7" i="5"/>
  <c r="N7" i="5"/>
  <c r="K7" i="5"/>
  <c r="E7" i="5"/>
  <c r="T6" i="5"/>
  <c r="N6" i="5"/>
  <c r="K6" i="5"/>
  <c r="E6" i="5"/>
  <c r="T5" i="5"/>
  <c r="N5" i="5"/>
  <c r="K5" i="5"/>
  <c r="E5" i="5"/>
  <c r="T4" i="5"/>
  <c r="N4" i="5"/>
  <c r="K4" i="5"/>
  <c r="E4" i="5"/>
  <c r="T3" i="5"/>
  <c r="N3" i="5"/>
  <c r="K3" i="5"/>
  <c r="E3" i="5"/>
</calcChain>
</file>

<file path=xl/sharedStrings.xml><?xml version="1.0" encoding="utf-8"?>
<sst xmlns="http://schemas.openxmlformats.org/spreadsheetml/2006/main" count="3622" uniqueCount="380">
  <si>
    <t>Table P1.1 Share of all adults with functional difficulties (%)</t>
  </si>
  <si>
    <t>Region</t>
  </si>
  <si>
    <t>Any difficulty</t>
  </si>
  <si>
    <t>Some difficulty</t>
  </si>
  <si>
    <t>At least a lot of difficulty</t>
  </si>
  <si>
    <t>Centre</t>
  </si>
  <si>
    <t>Nord</t>
  </si>
  <si>
    <t>Ouest</t>
  </si>
  <si>
    <t>Sud</t>
  </si>
  <si>
    <t>Table P1.2 Share of all females with functional difficulties (%)</t>
  </si>
  <si>
    <t>National</t>
  </si>
  <si>
    <t>Table P1.3 Share of all males with functional difficulties (%)</t>
  </si>
  <si>
    <t>Table P1.4 Share of rural residents with functional difficulties (%)</t>
  </si>
  <si>
    <t>Table P1.5 Share of urban residents with functional difficulties (%)</t>
  </si>
  <si>
    <t>Table P1.6 Share of adults age 15 to 44 with functional difficulties (%)</t>
  </si>
  <si>
    <t>Table P1.7 Share of adults age 45 and older with functional difficulties (%)</t>
  </si>
  <si>
    <t>Table P2.1 Share of all adults with any functional difficulty by type of functional difficulty (%)</t>
  </si>
  <si>
    <t>Seeing</t>
  </si>
  <si>
    <t>Hearing</t>
  </si>
  <si>
    <t>Mobility</t>
  </si>
  <si>
    <t>Cognition</t>
  </si>
  <si>
    <t>Self-Care</t>
  </si>
  <si>
    <t>Communication</t>
  </si>
  <si>
    <t>Table P2.2 Share of all adults with some functional difficulty by type of functional difficulty (%)</t>
  </si>
  <si>
    <t>Table P2.3 Share of all adults with at least a lot of functional difficulty by type of functional difficulty (%)</t>
  </si>
  <si>
    <t>Table P3.1 Share of all households with functional difficulties (%)</t>
  </si>
  <si>
    <t>Table P3.2 Share of rural households with functional difficulties (%)</t>
  </si>
  <si>
    <t>Table P3.3 Share of urban households with functional difficulties (%)</t>
  </si>
  <si>
    <t>No Difficulty</t>
  </si>
  <si>
    <t>N/A</t>
  </si>
  <si>
    <t>Table E2 Share of all adults who have less than primary school completion (%) by functional difficulty type</t>
  </si>
  <si>
    <t>Table E3 Share of all adults who have completed primary school (%) by functional difficulty type</t>
  </si>
  <si>
    <t>Table E4 Share of all adults who have completed secondary school or higher (%) by functional difficulty type</t>
  </si>
  <si>
    <t>Table H1 Share of all adults in households using safely managed drinking water (%) by functional difficulty type</t>
  </si>
  <si>
    <t>Table H2 Share of all adults in households using safely managed sanitation services (%) by functional difficulty type</t>
  </si>
  <si>
    <t>Table S1 Share of all adults in households with electricity (%) by functional difficulty type</t>
  </si>
  <si>
    <t>Table S2 Share of all adults in households with clean cooking fuel (%) by functional difficulty type</t>
  </si>
  <si>
    <t>Table S3 Share of all adults in households with adequate housing (%) by functional difficulty type</t>
  </si>
  <si>
    <t>Table S4 Share of assets for all adults (%) by functional difficulty type</t>
  </si>
  <si>
    <t>Table S5 Adults in households with cell phone for all adults (%)</t>
  </si>
  <si>
    <t>Table M1 Multidimensional poverty headcount for all adults (%) by functional difficulty type</t>
  </si>
  <si>
    <t>Table E1.1.a Share of all adults who have ever attended school (%) (disaggregation a)</t>
  </si>
  <si>
    <t>Table E1.1.b Share of all adults who have ever attended school (%) (disaggregation b)</t>
  </si>
  <si>
    <t>Table E1.1.c Share of all adults who have ever attended school (%) (disaggregation c)</t>
  </si>
  <si>
    <t>No difficulty</t>
  </si>
  <si>
    <t>Difference</t>
  </si>
  <si>
    <t>Statistical Significance of the Difference</t>
  </si>
  <si>
    <t>Difference No difficulty &amp; At least a lot of difficulty</t>
  </si>
  <si>
    <t>Statistical Significance of the Difference (No difficulty vs At least a lot)</t>
  </si>
  <si>
    <t>No or some difficulty</t>
  </si>
  <si>
    <t>Table E1.2.a Share of females who have ever attended school (%) (disaggregation a)</t>
  </si>
  <si>
    <t>Table E1.2.b Share of females who have ever attended school (%) (disaggregation b)</t>
  </si>
  <si>
    <t>Table E1.2.c Share of females who have ever attended school (%) (disaggregation c)</t>
  </si>
  <si>
    <t>Table E1.3.a Share of males who have ever attended school (%) (disaggregation a)</t>
  </si>
  <si>
    <t>Table E1.3.b Share of males who have ever attended school (%) (disaggregation b)</t>
  </si>
  <si>
    <t>Table E1.3.c Share of males who have ever attended school (%) (disaggregation c)</t>
  </si>
  <si>
    <t>Table E1.4.a Share of rural residents who have ever attended school (%) (disaggregation a)</t>
  </si>
  <si>
    <t>Table E1.4.b Share of rural residents who have ever attended school (%) (disaggregation b)</t>
  </si>
  <si>
    <t>Table E1.4.c Share of rural residents who have ever attended school (%) (disaggregation c)</t>
  </si>
  <si>
    <t>Table E1.5.a Share of urban residents who have ever attended school (%) (disaggregation a)</t>
  </si>
  <si>
    <t>Table E1.5.b Share of urban residents who have ever attended school (%) (disaggregation b)</t>
  </si>
  <si>
    <t>Table E1.5.c Share of urban residents who have ever attended school (%) (disaggregation c)</t>
  </si>
  <si>
    <t>Table E1.6.a Share of all adults age 15 to 44 who have ever attended school (%) (disaggregation a)</t>
  </si>
  <si>
    <t>Table E1.6.b Share of all adults age 15 to 44 who have ever attended school (%) (disaggregation b)</t>
  </si>
  <si>
    <t>Table E1.6.c Share of all adults age 15 to 44 who have ever attended school (%) (disaggregation c)</t>
  </si>
  <si>
    <t>Table E1.7.a Share of all adults age 45 and older who have ever attended school (%) (disaggregation a)</t>
  </si>
  <si>
    <t>Table E1.7.b Share of all adults age 45 and older who have ever attended school (%) (disaggregation b)</t>
  </si>
  <si>
    <t>Table E1.7.c Share of all adults age 45 and older who have ever attended school (%) (disaggregation c)</t>
  </si>
  <si>
    <t>Table E2.1.a Share of all adults who have less than primary school completion (%) (disaggregation a)</t>
  </si>
  <si>
    <t>Table E2.1.b Share of all adults who have less than primary school completion (%) (disaggregation b)</t>
  </si>
  <si>
    <t>Table E2.1.c Share of all adults who have less than primary school completion (%) (disaggregation c)</t>
  </si>
  <si>
    <t>Table E2.2.a Share of females who have less than primary school completion (%) (disaggregation a)</t>
  </si>
  <si>
    <t>Table E2.2.b Share of females who have less than primary school completion (%) (disaggregation b)</t>
  </si>
  <si>
    <t>Table E2.2.c Share of females who have less than primary school completion (%) (disaggregation c)</t>
  </si>
  <si>
    <t>Table E2.3.a Share of males who have less than primary school completion (%) (disaggregation a)</t>
  </si>
  <si>
    <t>Table E2.3.b Share of males who have less than primary school completion (%) (disaggregation b)</t>
  </si>
  <si>
    <t>Table E2.3.c Share of males who have less than primary school completion (%) (disaggregation c)</t>
  </si>
  <si>
    <t>Table E2.4.a Share of rural residents who have less than primary school completion (%) (disaggregation a)</t>
  </si>
  <si>
    <t>Table E2.4.b Share of rural residents who have less than primary school completion (%) (disaggregation b)</t>
  </si>
  <si>
    <t>Table E2.4.c Share of rural residents who have less than primary school completion (%) (disaggregation c)</t>
  </si>
  <si>
    <t>Table E2.5.a Share of urban residents who have less than primary school completion (%) (disaggregation a)</t>
  </si>
  <si>
    <t>Table E2.5.b Share of urban residents who have less than primary school completion (%) (disaggregation b)</t>
  </si>
  <si>
    <t>Table E2.5.c Share of urban residents who have less than primary school completion (%) (disaggregation c)</t>
  </si>
  <si>
    <t>Table E2.6.a Share of all adults age 15 to 44 who have less than primary school completion (%) (disaggregation a)</t>
  </si>
  <si>
    <t>Table E2.6.b Share of all adults age 15 to 44 who have less than primary school completion (%) (disaggregation b)</t>
  </si>
  <si>
    <t>Table E2.6.c Share of all adults age 15 to 44 who have less than primary school completion (%) (disaggregation c)</t>
  </si>
  <si>
    <t>Table E2.7.a Share of all adults age 45 and older who have less than primary school completion (%) (disaggregation a)</t>
  </si>
  <si>
    <t>Table E2.7.b Share of all adults age 45 and older who have less than primary school completion (%) (disaggregation b)</t>
  </si>
  <si>
    <t>Table E2.7.c Share of all adults age 45 and older who have less than primary school completion (%) (disaggregation c)</t>
  </si>
  <si>
    <t>Table E3.1.a Share of all adults who have completed primary school (%) (disaggregation a)</t>
  </si>
  <si>
    <t>Table E3.1.b Share of all adults who have completed primary school (%) (disaggregation b)</t>
  </si>
  <si>
    <t>Table E3.1.c Share of all adults who have completed primary school (%) (disaggregation c)</t>
  </si>
  <si>
    <t>Table E3.2.a Share of females who have completed primary school (%) (disaggregation a)</t>
  </si>
  <si>
    <t>Table E3.2.b Share of females who have completed primary school (%) (disaggregation b)</t>
  </si>
  <si>
    <t>Table E3.2.c Share of females who have completed primary school (%) (disaggregation c)</t>
  </si>
  <si>
    <t>Table E3.3.a Share of males who have completed primary school (%) (disaggregation a)</t>
  </si>
  <si>
    <t>Table E3.3.b Share of males who have completed primary school (%) (disaggregation b)</t>
  </si>
  <si>
    <t>Table E3.3.c Share of males who have completed primary school (%) (disaggregation c)</t>
  </si>
  <si>
    <t>Table E3.4.a Share of rural residents who have completed primary school (%) (disaggregation a)</t>
  </si>
  <si>
    <t>Table E3.4.b Share of rural residents who have completed primary school (%) (disaggregation b)</t>
  </si>
  <si>
    <t>Table E3.4.c Share of rural residents who have completed primary school (%) (disaggregation c)</t>
  </si>
  <si>
    <t>Table E3.5.a Share of urban residents who have completed primary school (%) (disaggregation a)</t>
  </si>
  <si>
    <t>Table E3.5.b Share of urban residents who have completed primary school (%) (disaggregation b)</t>
  </si>
  <si>
    <t>Table E3.5.c Share of urban residents who have completed primary school (%) (disaggregation c)</t>
  </si>
  <si>
    <t>Table E3.6.a Share of all adults age 15 to 44 who have completed primary school (%) (disaggregation a)</t>
  </si>
  <si>
    <t>Table E3.6.b Share of all adults age 15 to 44 who have completed primary school (%) (disaggregation b)</t>
  </si>
  <si>
    <t>Table E3.6.c Share of all adults age 15 to 44 who have completed primary school (%) (disaggregation c)</t>
  </si>
  <si>
    <t>Table E3.7.a Share of all adults age 45 and older who have completed primary school (%) (disaggregation a)</t>
  </si>
  <si>
    <t>Table E3.7.b Share of all adults age 45 and older who have completed primary school (%) (disaggregation b)</t>
  </si>
  <si>
    <t>Table E3.7.c Share of all adults age 45 and older who have completed primary school (%) (disaggregation c)</t>
  </si>
  <si>
    <t>Table E4.1.a Share of all adults who have completed secondary school or higher (%) (disaggregation a)</t>
  </si>
  <si>
    <t>Table E4.1.b Share of all adults who have completed secondary school or higher (%) (disaggregation b)</t>
  </si>
  <si>
    <t>Table E4.1.c Share of all adults who have completed secondary school or higher (%) (disaggregation c)</t>
  </si>
  <si>
    <t>Table E4.2.a Share of females who have completed secondary school or higher (%) (disaggregation a)</t>
  </si>
  <si>
    <t>Table E4.2.b Share of females who have completed secondary school or higher (%) (disaggregation b)</t>
  </si>
  <si>
    <t>Table E4.2.c Share of females who have completed secondary school or higher (%) (disaggregation c)</t>
  </si>
  <si>
    <t>Table E4.3.a Share of males who have completed secondary school or higher (%) (disaggregation a)</t>
  </si>
  <si>
    <t>Table E4.3.b Share of males who have completed secondary school or higher (%) (disaggregation b)</t>
  </si>
  <si>
    <t>Table E4.3.c Share of males who have completed secondary school or higher (%) (disaggregation c)</t>
  </si>
  <si>
    <t>Table E4.4.a Share of rural residents who have completed secondary school or higher (%) (disaggregation a)</t>
  </si>
  <si>
    <t>Table E4.4.b Share of rural residents who have completed secondary school or higher (%) (disaggregation b)</t>
  </si>
  <si>
    <t>Table E4.4.c Share of rural residents who have completed secondary school or higher (%) (disaggregation c)</t>
  </si>
  <si>
    <t>Table E4.5.a Share of urban residents who have completed secondary school or higher (%) (disaggregation a)</t>
  </si>
  <si>
    <t>Table E4.5.b Share of urban residents who have completed secondary school or higher (%) (disaggregation b)</t>
  </si>
  <si>
    <t>Table E4.5.c Share of urban residents who have completed secondary school or higher (%) (disaggregation c)</t>
  </si>
  <si>
    <t>Table E4.6.a Share of all adults age 15 to 44 who have completed secondary school or higher (%) (disaggregation a)</t>
  </si>
  <si>
    <t>Table E4.6.b Share of all adults age 15 to 44 who have completed secondary school or higher (%) (disaggregation b)</t>
  </si>
  <si>
    <t>Table E4.6.c Share of all adults age 15 to 44 who have completed secondary school or higher (%) (disaggregation c)</t>
  </si>
  <si>
    <t>Table E4.7.a Share of all adults age 45 and older who have completed secondary school or higher (%) (disaggregation a)</t>
  </si>
  <si>
    <t>Table E4.7.b Share of all adults age 45 and older who have completed secondary school or higher (%) (disaggregation b)</t>
  </si>
  <si>
    <t>Table E4.7.c Share of all adults age 45 and older who have completed secondary school or higher (%) (disaggregation c)</t>
  </si>
  <si>
    <t>Table H1.1.a Share of all adults in households using safely managed drinking water (%) (disaggregation a)</t>
  </si>
  <si>
    <t>Table H1.1.b Share of all adults in households using safely managed drinking water (%) (disaggregation b)</t>
  </si>
  <si>
    <t>Table H1.1.c Share of all adults in households using safely managed drinking water (%) (disaggregation c)</t>
  </si>
  <si>
    <t>Table H1.2.a Share of females in households using safely managed drinking water (%) (disaggregation a)</t>
  </si>
  <si>
    <t>Table H1.2.b Share of females in households using safely managed drinking water (%) (disaggregation b)</t>
  </si>
  <si>
    <t>Table H1.2.c Share of females in households using safely managed drinking water (%) (disaggregation c)</t>
  </si>
  <si>
    <t>Table H1.3.a Share of males in households using safely managed drinking water (%) (disaggregation a)</t>
  </si>
  <si>
    <t>Table H1.3.b Share of males in households using safely managed drinking water (%) (disaggregation b)</t>
  </si>
  <si>
    <t>Table H1.3.c Share of males in households using safely managed drinking water (%) (disaggregation c)</t>
  </si>
  <si>
    <t>Table H1.4.a Share of rural residents in households using safely managed drinking water (%) (disaggregation a)</t>
  </si>
  <si>
    <t>Table H1.4.b Share of rural residents in households using safely managed drinking water (%) (disaggregation b)</t>
  </si>
  <si>
    <t>Table H1.4.c Share of rural residents in households using safely managed drinking water (%) (disaggregation c)</t>
  </si>
  <si>
    <t>Table H1.5.a Share of urban residents in households using safely managed drinking water (%) (disaggregation a)</t>
  </si>
  <si>
    <t>Table H1.5.b Share of urban residents in households using safely managed drinking water (%) (disaggregation b)</t>
  </si>
  <si>
    <t>Table H1.5.c Share of urban residents in households using safely managed drinking water (%) (disaggregation c)</t>
  </si>
  <si>
    <t>Table H1.6.a Share of all adults age 15 to 44 in households using safely managed drinking water (%) (disaggregation a)</t>
  </si>
  <si>
    <t>Table H1.6.b Share of all adults age 15 to 44 in households using safely managed drinking water (%) (disaggregation b)</t>
  </si>
  <si>
    <t>Table H1.6.c Share of all adults age 15 to 44 in households using safely managed drinking water (%) (disaggregation c)</t>
  </si>
  <si>
    <t>Table H1.7.a Share of all adults age 45 and older in households using safely managed drinking water (%) (disaggregation a)</t>
  </si>
  <si>
    <t>Table H1.7.b Share of all adults age 45 and older in households using safely managed drinking water (%) (disaggregation b)</t>
  </si>
  <si>
    <t>Table H1.7.c Share of all adults age 45 and older in households using safely managed drinking water (%) (disaggregation c)</t>
  </si>
  <si>
    <t>Table H2.1.a Share of all adults in households using safely managed sanitation services (%) (disaggregation a)</t>
  </si>
  <si>
    <t>Table H2.1.b Share of all adults in households using safely managed sanitation services (%) (disaggregation b)</t>
  </si>
  <si>
    <t>Table H2.1.c Share of all adults in households using safely managed sanitation services (%) (disaggregation c)</t>
  </si>
  <si>
    <t>Table H2.2.a Share of females in households using safely managed sanitation services (%) (disaggregation a)</t>
  </si>
  <si>
    <t>Table H2.2.b Share of females in households using safely managed sanitation services (%) (disaggregation b)</t>
  </si>
  <si>
    <t>Table H2.2.c Share of females in households using safely managed sanitation services (%) (disaggregation c)</t>
  </si>
  <si>
    <t>Table H2.3.a Share of males in households using safely managed sanitation services (%) (disaggregation a)</t>
  </si>
  <si>
    <t>Table H2.3.b Share of males in households using safely managed sanitation services (%) (disaggregation b)</t>
  </si>
  <si>
    <t>Table H2.3.c Share of males in households using safely managed sanitation services (%) (disaggregation c)</t>
  </si>
  <si>
    <t>Table H2.4.a Share of rural residents in households using safely managed sanitation services (%) (disaggregation a)</t>
  </si>
  <si>
    <t>Table H2.4.b Share of rural residents in households using safely managed sanitation services (%) (disaggregation b)</t>
  </si>
  <si>
    <t>Table H2.4.c Share of rural residents in households using safely managed sanitation services (%) (disaggregation c)</t>
  </si>
  <si>
    <t>Table H2.5.a Share of urban residents in households using safely managed sanitation services (%) (disaggregation a)</t>
  </si>
  <si>
    <t>Table H2.5.b Share of urban residents in households using safely managed sanitation services (%) (disaggregation b)</t>
  </si>
  <si>
    <t>Table H2.5.c Share of urban residents in households using safely managed sanitation services (%) (disaggregation c)</t>
  </si>
  <si>
    <t>Table H2.6.a Share of all adults age 15 to 44 in households using safely managed sanitation services (%) (disaggregation a)</t>
  </si>
  <si>
    <t>Table H2.6.b Share of all adults age 15 to 44 in households using safely managed sanitation services (%) (disaggregation b)</t>
  </si>
  <si>
    <t>Table H2.6.c Share of all adults age 15 to 44 in households using safely managed sanitation services (%) (disaggregation c)</t>
  </si>
  <si>
    <t>Table H2.7.a Share of all adults age 45 and older in households using safely managed sanitation services (%) (disaggregation a)</t>
  </si>
  <si>
    <t>Table H2.7.b Share of all adults age 45 and older in households using safely managed sanitation services (%) (disaggregation b)</t>
  </si>
  <si>
    <t>Table H2.7.c Share of all adults age 45 and older in households using safely managed sanitation services (%) (disaggregation c)</t>
  </si>
  <si>
    <t>Table S1.1.a Share of all adults in households with electricity (%) (disaggregation a)</t>
  </si>
  <si>
    <t>Table S1.1.b Share of all adults in households with electricity (%) (disaggregation b)</t>
  </si>
  <si>
    <t>Table S1.1.c Share of all adults in households with electricity (%) (disaggregation c)</t>
  </si>
  <si>
    <t>Table S1.2.a Share of females in households with electricity (%) (disaggregation a)</t>
  </si>
  <si>
    <t>Table S1.2.b Share of females in households with electricity (%) (disaggregation b)</t>
  </si>
  <si>
    <t>Table S1.2.c Share of females in households with electricity (%) (disaggregation c)</t>
  </si>
  <si>
    <t>Table S1.3.a Share of males in households with electricity (%) (disaggregation a)</t>
  </si>
  <si>
    <t>Table S1.3.b Share of males in households with electricity (%) (disaggregation b)</t>
  </si>
  <si>
    <t>Table S1.3.c Share of males in households with electricity (%) (disaggregation c)</t>
  </si>
  <si>
    <t>Table S1.4.a Share of rural residents in households with electricity (%) (disaggregation a)</t>
  </si>
  <si>
    <t>Table S1.4.b Share of rural residents in households with electricity (%) (disaggregation b)</t>
  </si>
  <si>
    <t>Table S1.4.c Share of rural residents in households with electricity (%) (disaggregation c)</t>
  </si>
  <si>
    <t>Table S1.5.a Share of urban residents in households with electricity (%) (disaggregation a)</t>
  </si>
  <si>
    <t>Table S1.5.b Share of urban residents in households with electricity (%) (disaggregation b)</t>
  </si>
  <si>
    <t>Table S1.5.c Share of urban residents in households with electricity (%) (disaggregation c)</t>
  </si>
  <si>
    <t>Table S1.6.a Share of all adults age 15 to 44 in households with electricity (%) (disaggregation a)</t>
  </si>
  <si>
    <t>Table S1.6.b Share of all adults age 15 to 44 in households with electricity (%) (disaggregation b)</t>
  </si>
  <si>
    <t>Table S1.6.c Share of all adults age 15 to 44 in households with electricity (%) (disaggregation c)</t>
  </si>
  <si>
    <t>Table S1.7.a Share of all adults age 45 and older in households with electricity (%) (disaggregation a)</t>
  </si>
  <si>
    <t>Table S1.7.b Share of all adults age 45 and older in households with electricity (%) (disaggregation b)</t>
  </si>
  <si>
    <t>Table S1.7.c Share of all adults age 45 and older in households with electricity (%) (disaggregation c)</t>
  </si>
  <si>
    <t>Table S2.1.a Share of all adults in households with clean cooking fuel (%) (disaggregation a)</t>
  </si>
  <si>
    <t>Table S2.1.b Share of all adults in households with clean cooking fuel (%) (disaggregation b)</t>
  </si>
  <si>
    <t>Table S2.1.c Share of all adults in households with clean cooking fuel (%) (disaggregation c)</t>
  </si>
  <si>
    <t>Table S2.2.a Share of females in households with clean cooking fuel (%) (disaggregation a)</t>
  </si>
  <si>
    <t>Table S2.2.b Share of females in households with clean cooking fuel (%) (disaggregation b)</t>
  </si>
  <si>
    <t>Table S2.2.c Share of females in households with clean cooking fuel (%) (disaggregation c)</t>
  </si>
  <si>
    <t>Table S2.3.a Share of males in households with clean cooking fuel (%) (disaggregation a)</t>
  </si>
  <si>
    <t>Table S2.3.b Share of males in households with clean cooking fuel (%) (disaggregation b)</t>
  </si>
  <si>
    <t>Table S2.3.c Share of males in households with clean cooking fuel (%) (disaggregation c)</t>
  </si>
  <si>
    <t>Table S2.4.a Share of rural residents in households with clean cooking fuel (%) (disaggregation a)</t>
  </si>
  <si>
    <t>Table S2.4.b Share of rural residents in households with clean cooking fuel (%) (disaggregation b)</t>
  </si>
  <si>
    <t>Table S2.4.c Share of rural residents in households with clean cooking fuel (%) (disaggregation c)</t>
  </si>
  <si>
    <t>Table S2.5.a Share of urban residents in households with clean cooking fuel (%) (disaggregation a)</t>
  </si>
  <si>
    <t>Table S2.5.b Share of urban residents in households with clean cooking fuel (%) (disaggregation b)</t>
  </si>
  <si>
    <t>Table S2.5.c Share of urban residents in households with clean cooking fuel (%) (disaggregation c)</t>
  </si>
  <si>
    <t>Table S2.6.a Share of all adults age 15 to 44 in households with clean cooking fuel (%) (disaggregation a)</t>
  </si>
  <si>
    <t>Table S2.6.b Share of all adults age 15 to 44 in households with clean cooking fuel (%) (disaggregation b)</t>
  </si>
  <si>
    <t>Table S2.6.c Share of all adults age 15 to 44 in households with clean cooking fuel (%) (disaggregation c)</t>
  </si>
  <si>
    <t>Table S2.7.a Share of all adults age 45 and older in households with clean cooking fuel (%) (disaggregation a)</t>
  </si>
  <si>
    <t>Table S2.7.b Share of all adults age 45 and older in households with clean cooking fuel (%) (disaggregation b)</t>
  </si>
  <si>
    <t>Table S2.7.c Share of all adults age 45 and older in households with clean cooking fuel (%) (disaggregation c)</t>
  </si>
  <si>
    <t>Table S3.1.a Share of all adults in households with adequate housing (%) (disaggregation a)</t>
  </si>
  <si>
    <t>Table S3.1.b Share of all adults in households with adequate housing (%) (disaggregation b)</t>
  </si>
  <si>
    <t>Table S3.1.c Share of all adults in households with adequate housing (%) (disaggregation c)</t>
  </si>
  <si>
    <t>Table S3.2.a Share of females in households with adequate housing (%) (disaggregation a)</t>
  </si>
  <si>
    <t>Table S3.2.b Share of females in households with adequate housing (%) (disaggregation b)</t>
  </si>
  <si>
    <t>Table S3.2.c Share of females in households with adequate housing (%) (disaggregation c)</t>
  </si>
  <si>
    <t>Table S3.3.a Share of males in households with adequate housing (%) (disaggregation a)</t>
  </si>
  <si>
    <t>Table S3.3.b Share of males in households with adequate housing (%) (disaggregation b)</t>
  </si>
  <si>
    <t>Table S3.3.c Share of males in households with adequate housing (%) (disaggregation c)</t>
  </si>
  <si>
    <t>Table S3.4.a Share of rural residents in households with adequate housing (%) (disaggregation a)</t>
  </si>
  <si>
    <t>Table S3.4.b Share of rural residents in households with adequate housing (%) (disaggregation b)</t>
  </si>
  <si>
    <t>Table S3.4.c Share of rural residents in households with adequate housing (%) (disaggregation c)</t>
  </si>
  <si>
    <t>Table S3.5.a Share of urban residents in households with adequate housing (%) (disaggregation a)</t>
  </si>
  <si>
    <t>Table S3.5.b Share of urban residents in households with adequate housing (%) (disaggregation b)</t>
  </si>
  <si>
    <t>Table S3.5.c Share of urban residents in households with adequate housing (%) (disaggregation c)</t>
  </si>
  <si>
    <t>Table S3.6.a Share of all adults age 15 to 44 in households with adequate housing (%) (disaggregation a)</t>
  </si>
  <si>
    <t>Table S3.6.b Share of all adults age 15 to 44 in households with adequate housing (%) (disaggregation b)</t>
  </si>
  <si>
    <t>Table S3.6.c Share of all adults age 15 to 44 in households with adequate housing (%) (disaggregation c)</t>
  </si>
  <si>
    <t>Table S3.7.a Share of all adults age 45 and older in households with adequate housing (%) (disaggregation a)</t>
  </si>
  <si>
    <t>Table S3.7.b Share of all adults age 45 and older in households with adequate housing (%) (disaggregation b)</t>
  </si>
  <si>
    <t>Table S3.7.c Share of all adults age 45 and older in households with adequate housing (%) (disaggregation c)</t>
  </si>
  <si>
    <t>Table S4.1.a Share of assets for all adults (%) (disaggregation a)</t>
  </si>
  <si>
    <t>Table S4.1.b Share of assets for all adults (%) (disaggregation b)</t>
  </si>
  <si>
    <t>Table S4.1.c Share of assets for all adults (%) (disaggregation c)</t>
  </si>
  <si>
    <t>Table S4.2.a Share of assets for females (%) (disaggregation a)</t>
  </si>
  <si>
    <t>Table S4.2.b Share of assets for females (%) (disaggregation b)</t>
  </si>
  <si>
    <t>Table S4.2.c Share of assets for females (%) (disaggregation c)</t>
  </si>
  <si>
    <t>Table S4.3.a Share of assets for males (%) (disaggregation a)</t>
  </si>
  <si>
    <t>Table S4.3.b Share of assets for males (%) (disaggregation b)</t>
  </si>
  <si>
    <t>Table S4.3.c Share of assets for males (%) (disaggregation c)</t>
  </si>
  <si>
    <t>Table S4.4.a Share of assets for rural residents (%) (disaggregation a)</t>
  </si>
  <si>
    <t>Table S4.4.b Share of assets for rural residents (%) (disaggregation b)</t>
  </si>
  <si>
    <t>Table S4.4.c Share of assets for rural residents (%) (disaggregation c)</t>
  </si>
  <si>
    <t>Table S4.5.a Share of assets for urban residents (%) (disaggregation a)</t>
  </si>
  <si>
    <t>Table S4.5.b Share of assets for urban residents (%) (disaggregation b)</t>
  </si>
  <si>
    <t>Table S4.5.c Share of assets for urban residents (%) (disaggregation c)</t>
  </si>
  <si>
    <t>Table S4.6.a Share of assets for all adults age 15 to 44 (%) (disaggregation a)</t>
  </si>
  <si>
    <t>Table S4.6.b Share of assets for all adults age 15 to 44 (%) (disaggregation b)</t>
  </si>
  <si>
    <t>Table S4.6.c Share of assets for all adults age 15 to 44 (%) (disaggregation c)</t>
  </si>
  <si>
    <t>Table S4.7.a Share of assets for all adults age 45 and older (%) (disaggregation a)</t>
  </si>
  <si>
    <t>Table S4.7.b Share of assets for all adults age 45 and older (%) (disaggregation b)</t>
  </si>
  <si>
    <t>Table S4.7.c Share of assets for all adults age 45 and older (%) (disaggregation c)</t>
  </si>
  <si>
    <t>Table S5.1.a Adults in households with cell phone for all adults (%)</t>
  </si>
  <si>
    <t>Table S5.1.b Adults in households with cell phone for all adults (%)</t>
  </si>
  <si>
    <t>Table S5.1.c Adults in households with cell phone for all adults (%)</t>
  </si>
  <si>
    <t>Table S5.2.a Adults in households with cell phone for females (%)</t>
  </si>
  <si>
    <t>Table S5.2.b Adults in households with cell phone for females (%)</t>
  </si>
  <si>
    <t>Table S5.2.c Adults in households with cell phone for females (%)</t>
  </si>
  <si>
    <t>Table S5.3.a Adults in households with cell phone for males (%)</t>
  </si>
  <si>
    <t>Table S5.3.b Adults in households with cell phone for males (%)</t>
  </si>
  <si>
    <t>Table S5.3.c Adults in households with cell phone for males (%)</t>
  </si>
  <si>
    <t>Table S5.4.a Adults in households with cell phone for rural residents (%)</t>
  </si>
  <si>
    <t>Table S5.4.b Adults in households with cell phone for rural residents (%)</t>
  </si>
  <si>
    <t>Table S5.4.c Adults in households with cell phone for rural residents (%)</t>
  </si>
  <si>
    <t>Table S5.5.a Adults in households with cell phone for urban residents (%)</t>
  </si>
  <si>
    <t>Table S5.5.b Adults in households with cell phone for urban residents (%)</t>
  </si>
  <si>
    <t>Table S5.5.c Adults in households with cell phone for urban residents (%)</t>
  </si>
  <si>
    <t>Table S5.6.a Adults in households with cell phone for all adults age 15 to 44 (%)</t>
  </si>
  <si>
    <t>Table S5.6.b Adults in households with cell phone for all adults age 15 to 44 (%)</t>
  </si>
  <si>
    <t>Table S5.6.c Adults in households with cell phone for all adults age 15 to 44 (%)</t>
  </si>
  <si>
    <t>Table S5.7.a Adults in households with cell phone for all adults age 45 and older (%)</t>
  </si>
  <si>
    <t>Table S5.7.b Adults in households with cell phone for all adults age 45 and older (%)</t>
  </si>
  <si>
    <t>Table S5.7.c Adults in households with cell phone for all adults age 45 and older (%)</t>
  </si>
  <si>
    <t>Table M1.1.a Multidimensional poverty headcount for all adults (%) (disaggregation a)</t>
  </si>
  <si>
    <t>Table M1.1.b Multidimensional poverty headcount for all adults (%) (disaggregation b)</t>
  </si>
  <si>
    <t>Table M1.1.c Multidimensional poverty headcount for all adults (%) (disaggregation c)</t>
  </si>
  <si>
    <t>Table M1.2.a Multidimensional poverty headcount for females (%) (disaggregation a)</t>
  </si>
  <si>
    <t>Table M1.2.b Multidimensional poverty headcount for females (%) (disaggregation b)</t>
  </si>
  <si>
    <t>Table M1.2.c Multidimensional poverty headcount for females (%) (disaggregation c)</t>
  </si>
  <si>
    <t>Table M1.3.a Multidimensional poverty headcount for males (%) (disaggregation a)</t>
  </si>
  <si>
    <t>Table M1.3.b Multidimensional poverty headcount for males (%) (disaggregation b)</t>
  </si>
  <si>
    <t>Table M1.3.c Multidimensional poverty headcount for males (%) (disaggregation c)</t>
  </si>
  <si>
    <t>Table M1.4.a Multidimensional poverty headcount for rural residents (%) (disaggregation a)</t>
  </si>
  <si>
    <t>Table M1.4.b Multidimensional poverty headcount for rural residents (%) (disaggregation b)</t>
  </si>
  <si>
    <t>Table M1.4.c Multidimensional poverty headcount for rural residents (%) (disaggregation c)</t>
  </si>
  <si>
    <t>Table M1.5.a Multidimensional poverty headcount for urban residents (%) (disaggregation a)</t>
  </si>
  <si>
    <t>Table M1.5.b Multidimensional poverty headcount for urban residents (%) (disaggregation b)</t>
  </si>
  <si>
    <t>Table M1.5.c Multidimensional poverty headcount for urban residents (%) (disaggregation c)</t>
  </si>
  <si>
    <t>Table M1.6.a Multidimensional poverty headcount for all adults age 15 to 44 (%) (disaggregation a)</t>
  </si>
  <si>
    <t>Table M1.6.b Multidimensional poverty headcount for all adults age 15 to 44 (%) (disaggregation b)</t>
  </si>
  <si>
    <t>Table M1.6.c Multidimensional poverty headcount for all adults age 15 to 44 (%) (disaggregation c)</t>
  </si>
  <si>
    <t>Table M1.7.a Multidimensional poverty headcount for all adults age 45 and older (%) (disaggregation a)</t>
  </si>
  <si>
    <t>Table M1.7.b Multidimensional poverty headcount for all adults age 45 and older (%) (disaggregation b)</t>
  </si>
  <si>
    <t>Table M1.7.c Multidimensional poverty headcount for all adults age 45 and older (%) (disaggregation c)</t>
  </si>
  <si>
    <t>Table E1 Share of all adults who have ever attended school (%) by functional difficulty type</t>
  </si>
  <si>
    <t>Source: Estimates are the results of calculations by contributors to the report based on Demographic and Health Survey data.</t>
  </si>
  <si>
    <t>Suggested citation: Hanass-Hancock, J., Murthy GVS., Palmer, M., Pinilla-Roncancio M.,  Rivas Velarde M., Mitra, S. (2023). The Disability Data Report. Disability Data Initiative. Fordham Research Consortium on Disability: New York.</t>
  </si>
  <si>
    <t>Each of the following sheets presents results for an indicator if the particular indicator is available in the dataset under study (see Method Brief 2 on indicators or Table 4.1 of the main text of the report and copied below).</t>
  </si>
  <si>
    <t>In each sheet, tables are numbered as follows: Capital letter for the topic (e.g. E for education); indicator number; a number indicating the population group under consideration; a letter referring to the disaggregation method (a, b, or c).</t>
  </si>
  <si>
    <t>Population groups under consideration at the individual level are: 1 Adults 2 Females 3 Males 4 Rural residents 5 Urban residents 6 Ages 15 to 44 7 Ages 45 +; For some indicators, results are given for the entire population but not for selected subgroups due to too few sample observations for subgroups, which is noted as 'N/A' in the table. For household level indicators, disaggregations are at the rural and urban levels only.</t>
  </si>
  <si>
    <t>In each sheet, results are presented for three ways of disaggregating described by functional difficulty status in Methods brief 1 : a Any difficulty vs No difficulty; b  No difficulty vs Some difficulty vs At least  lot of difficulty; c At least a lot of  difficulty vs No and some difficulty</t>
  </si>
  <si>
    <t xml:space="preserve">Each table also presents the estimated indicator for each disaggregated group based on functional status followed by the difference between indicators for the different groups under each disaggregation method and its statistical significance. *, **, *** indicate that the difference is statistically significant at the 10%, 5% and 1% levels respectively. NS stands for not significant
</t>
  </si>
  <si>
    <t>Indicators are defined in Methods brief 2 and are numbered as described in Table 4.1 (pasted below).</t>
  </si>
  <si>
    <t>Table 4.1: Indicators under study</t>
  </si>
  <si>
    <t xml:space="preserve">Indicator </t>
  </si>
  <si>
    <t>CRPD Article</t>
  </si>
  <si>
    <t>SDG indicator</t>
  </si>
  <si>
    <t>Indicator reference in results tables</t>
  </si>
  <si>
    <t>Prevalence</t>
  </si>
  <si>
    <t xml:space="preserve">Adults with functional difficulties </t>
  </si>
  <si>
    <t>P1</t>
  </si>
  <si>
    <t>Adults with functional difficulties  by type of functional difficulty</t>
  </si>
  <si>
    <t>P2</t>
  </si>
  <si>
    <t xml:space="preserve">Households with functional difficulties </t>
  </si>
  <si>
    <t>P3</t>
  </si>
  <si>
    <t>Education</t>
  </si>
  <si>
    <t>Adults who have ever attended school</t>
  </si>
  <si>
    <t>E1</t>
  </si>
  <si>
    <t>Adults who have less than primary school completion</t>
  </si>
  <si>
    <t>E2</t>
  </si>
  <si>
    <t>Adults who have completed primary school</t>
  </si>
  <si>
    <t>E3</t>
  </si>
  <si>
    <t>Adults who have completed secondary  school or higher</t>
  </si>
  <si>
    <t>E4</t>
  </si>
  <si>
    <t>Adults who can read and write in any language</t>
  </si>
  <si>
    <t>4.6.1</t>
  </si>
  <si>
    <t>E5</t>
  </si>
  <si>
    <t>Personal activities</t>
  </si>
  <si>
    <t xml:space="preserve">Employment population ratio </t>
  </si>
  <si>
    <t>W1</t>
  </si>
  <si>
    <t>Youth idle rate (NEET)</t>
  </si>
  <si>
    <t>8.6.1</t>
  </si>
  <si>
    <t>W2</t>
  </si>
  <si>
    <t>Working individuals in manufacturing</t>
  </si>
  <si>
    <t>9.2.2</t>
  </si>
  <si>
    <t>W3</t>
  </si>
  <si>
    <t>Women in managerial positions</t>
  </si>
  <si>
    <t>5.5.2</t>
  </si>
  <si>
    <t>W4</t>
  </si>
  <si>
    <t>Working individuals in informal work</t>
  </si>
  <si>
    <t>8.3.1</t>
  </si>
  <si>
    <t>W5</t>
  </si>
  <si>
    <t>Adults who used a computer recently</t>
  </si>
  <si>
    <t>PA2</t>
  </si>
  <si>
    <t>Adults who used the internet recently</t>
  </si>
  <si>
    <t>PA3</t>
  </si>
  <si>
    <t>Adults who own a mobile phone</t>
  </si>
  <si>
    <t>5.b.1</t>
  </si>
  <si>
    <t>PA4</t>
  </si>
  <si>
    <t>Health</t>
  </si>
  <si>
    <t>Adults in households using safely managed drinking water</t>
  </si>
  <si>
    <t>6.1.1</t>
  </si>
  <si>
    <t>H1</t>
  </si>
  <si>
    <t>Adults in households using safely managed sanitation services</t>
  </si>
  <si>
    <t>6.2.1</t>
  </si>
  <si>
    <t>H2</t>
  </si>
  <si>
    <t xml:space="preserve">Standard of living </t>
  </si>
  <si>
    <t>Adults in households with electricity</t>
  </si>
  <si>
    <t>7.1.1</t>
  </si>
  <si>
    <t>S1</t>
  </si>
  <si>
    <t>Adults in households with clean cooking fuel</t>
  </si>
  <si>
    <t>7.1.2</t>
  </si>
  <si>
    <t>S2</t>
  </si>
  <si>
    <t>Adults in households with adequate housing</t>
  </si>
  <si>
    <t>S3</t>
  </si>
  <si>
    <t>Percentage of assets owned by individual's household</t>
  </si>
  <si>
    <t>S4</t>
  </si>
  <si>
    <t>Adults in households with a mobile phone</t>
  </si>
  <si>
    <t>S5</t>
  </si>
  <si>
    <t>Multidimensional analysis</t>
  </si>
  <si>
    <t>Adults who experience multidimensional poverty, i.e. deprivations in more than one dimension of wellbeing (education, health, work, standard of living)</t>
  </si>
  <si>
    <t>24, 25, 27, 28</t>
  </si>
  <si>
    <t>M1</t>
  </si>
  <si>
    <t>This file has results for Senegal at the national and at the regional level.</t>
  </si>
  <si>
    <t>Notes: Relevant SDG indicators are listed. The SDG indicators may be different from the indicators measured in this report. For instance, indicator 8.3.1 measures Proportion of informal employment in National employment while this report measures the proportion of workers doing informal work. All indicators are proportions except the one on assets.  Indicator reference numbers follow those in the 2021 and the 2022 Disability Data Reports (PA1 was skipped due to a lack of data on exposure to mass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</si>
</sst>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rgb="FF000000"/>
      <name val="Calibri"/>
      <scheme val="minor"/>
    </font>
    <font>
      <sz val="11"/>
      <color theme="1"/>
      <name val="Calibri"/>
      <family val="2"/>
      <scheme val="minor"/>
    </font>
    <font>
      <b/>
      <sz val="11"/>
      <color theme="1"/>
      <name val="Calibri"/>
      <family val="2"/>
    </font>
    <font>
      <sz val="11"/>
      <color theme="1"/>
      <name val="Calibri"/>
      <family val="2"/>
    </font>
    <font>
      <b/>
      <sz val="11"/>
      <color theme="0"/>
      <name val="Calibri (Body)"/>
    </font>
    <font>
      <sz val="11"/>
      <color theme="0"/>
      <name val="Calibri (Body)"/>
    </font>
    <font>
      <sz val="12"/>
      <name val="Calibri"/>
      <family val="2"/>
      <scheme val="minor"/>
    </font>
    <font>
      <sz val="12"/>
      <color theme="1"/>
      <name val="Calibri"/>
      <family val="2"/>
      <scheme val="minor"/>
    </font>
    <font>
      <b/>
      <sz val="12"/>
      <color theme="1"/>
      <name val="Calibri"/>
      <family val="2"/>
      <scheme val="minor"/>
    </font>
    <font>
      <sz val="11"/>
      <color theme="1"/>
      <name val="Arial"/>
      <family val="2"/>
    </font>
    <font>
      <sz val="12"/>
      <color theme="3"/>
      <name val="Calibri"/>
      <family val="2"/>
      <scheme val="minor"/>
    </font>
    <font>
      <b/>
      <sz val="12"/>
      <color theme="0"/>
      <name val="Calibri"/>
      <family val="2"/>
      <scheme val="minor"/>
    </font>
    <font>
      <sz val="11"/>
      <color theme="0"/>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5">
    <border>
      <left/>
      <right/>
      <top/>
      <bottom/>
      <diagonal/>
    </border>
    <border>
      <left/>
      <right/>
      <top style="thin">
        <color theme="4" tint="0.39997558519241921"/>
      </top>
      <bottom style="thin">
        <color theme="4" tint="0.39997558519241921"/>
      </bottom>
      <diagonal/>
    </border>
    <border>
      <left/>
      <right/>
      <top/>
      <bottom style="thin">
        <color rgb="FF000000"/>
      </bottom>
      <diagonal/>
    </border>
    <border>
      <left/>
      <right/>
      <top/>
      <bottom style="thin">
        <color indexed="64"/>
      </bottom>
      <diagonal/>
    </border>
    <border>
      <left/>
      <right/>
      <top style="thin">
        <color theme="4" tint="0.39997558519241921"/>
      </top>
      <bottom/>
      <diagonal/>
    </border>
  </borders>
  <cellStyleXfs count="1">
    <xf numFmtId="0" fontId="0" fillId="0" borderId="0"/>
  </cellStyleXfs>
  <cellXfs count="45">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164" fontId="1" fillId="0" borderId="0" xfId="0" applyNumberFormat="1" applyFont="1"/>
    <xf numFmtId="164" fontId="0" fillId="0" borderId="0" xfId="0" applyNumberFormat="1"/>
    <xf numFmtId="164" fontId="4" fillId="0" borderId="0" xfId="0" applyNumberFormat="1" applyFont="1"/>
    <xf numFmtId="164" fontId="5" fillId="0" borderId="0" xfId="0" applyNumberFormat="1" applyFont="1"/>
    <xf numFmtId="164" fontId="3" fillId="0" borderId="0" xfId="0" applyNumberFormat="1" applyFont="1"/>
    <xf numFmtId="164" fontId="2" fillId="0" borderId="0" xfId="0" applyNumberFormat="1" applyFont="1"/>
    <xf numFmtId="164" fontId="1" fillId="0" borderId="0" xfId="0" applyNumberFormat="1" applyFont="1" applyAlignment="1">
      <alignment horizontal="right"/>
    </xf>
    <xf numFmtId="164" fontId="3" fillId="0" borderId="0" xfId="0" applyNumberFormat="1" applyFont="1" applyAlignment="1">
      <alignment horizontal="right"/>
    </xf>
    <xf numFmtId="164" fontId="0" fillId="0" borderId="0" xfId="0" applyNumberFormat="1" applyAlignment="1">
      <alignment horizontal="right"/>
    </xf>
    <xf numFmtId="164" fontId="3" fillId="0" borderId="0" xfId="0" applyNumberFormat="1" applyFont="1" applyAlignment="1">
      <alignment horizontal="left"/>
    </xf>
    <xf numFmtId="164" fontId="1" fillId="0" borderId="0" xfId="0" applyNumberFormat="1" applyFont="1" applyAlignment="1">
      <alignment horizontal="left"/>
    </xf>
    <xf numFmtId="164" fontId="0" fillId="0" borderId="0" xfId="0" applyNumberFormat="1" applyAlignment="1">
      <alignment horizontal="left"/>
    </xf>
    <xf numFmtId="164" fontId="4" fillId="0" borderId="0" xfId="0" applyNumberFormat="1" applyFont="1" applyAlignment="1">
      <alignment horizontal="left"/>
    </xf>
    <xf numFmtId="164" fontId="5" fillId="0" borderId="0" xfId="0" applyNumberFormat="1" applyFont="1" applyAlignment="1">
      <alignment horizontal="left"/>
    </xf>
    <xf numFmtId="0" fontId="6" fillId="0" borderId="0" xfId="0" applyFont="1"/>
    <xf numFmtId="0" fontId="1" fillId="0" borderId="0" xfId="0" applyFont="1" applyAlignment="1">
      <alignment horizontal="right" wrapText="1"/>
    </xf>
    <xf numFmtId="0" fontId="7" fillId="0" borderId="0" xfId="0" applyFont="1" applyAlignment="1">
      <alignment horizontal="right" wrapText="1"/>
    </xf>
    <xf numFmtId="0" fontId="0" fillId="0" borderId="2" xfId="0" applyBorder="1" applyAlignment="1">
      <alignment horizontal="left" wrapText="1"/>
    </xf>
    <xf numFmtId="0" fontId="8" fillId="0" borderId="0" xfId="0" applyFont="1" applyAlignment="1">
      <alignment vertical="center"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horizontal="right" wrapText="1"/>
    </xf>
    <xf numFmtId="0" fontId="7" fillId="0" borderId="1" xfId="0" applyFont="1" applyBorder="1" applyAlignment="1">
      <alignment horizontal="right" wrapText="1"/>
    </xf>
    <xf numFmtId="0" fontId="0" fillId="0" borderId="0" xfId="0" applyAlignment="1">
      <alignment horizontal="right" wrapText="1"/>
    </xf>
    <xf numFmtId="0" fontId="1" fillId="2" borderId="1" xfId="0" applyFont="1" applyFill="1" applyBorder="1" applyAlignment="1">
      <alignment horizontal="right" wrapText="1"/>
    </xf>
    <xf numFmtId="0" fontId="1" fillId="0" borderId="1" xfId="0" applyFont="1" applyBorder="1" applyAlignment="1">
      <alignment vertical="center" wrapText="1"/>
    </xf>
    <xf numFmtId="0" fontId="0" fillId="0" borderId="1" xfId="0" applyBorder="1" applyAlignment="1">
      <alignment horizontal="right" wrapText="1"/>
    </xf>
    <xf numFmtId="0" fontId="9" fillId="2" borderId="0" xfId="0" applyFont="1" applyFill="1" applyAlignment="1">
      <alignment vertical="center" wrapText="1"/>
    </xf>
    <xf numFmtId="0" fontId="1" fillId="2" borderId="0" xfId="0" applyFont="1" applyFill="1" applyAlignment="1">
      <alignment horizontal="right" wrapText="1"/>
    </xf>
    <xf numFmtId="0" fontId="9" fillId="2" borderId="0" xfId="0" applyFont="1" applyFill="1" applyAlignment="1">
      <alignment horizontal="right" wrapText="1"/>
    </xf>
    <xf numFmtId="0" fontId="8" fillId="0" borderId="0" xfId="0" applyFont="1" applyAlignment="1">
      <alignment wrapText="1"/>
    </xf>
    <xf numFmtId="0" fontId="0" fillId="0" borderId="0" xfId="0" applyAlignment="1">
      <alignment wrapText="1"/>
    </xf>
    <xf numFmtId="0" fontId="10" fillId="0" borderId="0" xfId="0" applyFont="1" applyAlignment="1">
      <alignment horizontal="right" wrapText="1"/>
    </xf>
    <xf numFmtId="0" fontId="0" fillId="0" borderId="4" xfId="0" applyBorder="1" applyAlignment="1">
      <alignment vertical="center" wrapText="1"/>
    </xf>
    <xf numFmtId="0" fontId="1" fillId="0" borderId="4" xfId="0" applyFont="1" applyBorder="1" applyAlignment="1">
      <alignment horizontal="right" wrapText="1"/>
    </xf>
    <xf numFmtId="0" fontId="6" fillId="0" borderId="0" xfId="0" applyFont="1" applyFill="1"/>
    <xf numFmtId="0" fontId="0" fillId="0" borderId="0" xfId="0" applyFill="1"/>
    <xf numFmtId="0" fontId="11" fillId="0" borderId="2" xfId="0" applyFont="1" applyBorder="1" applyAlignment="1">
      <alignment horizontal="left" wrapText="1"/>
    </xf>
    <xf numFmtId="0" fontId="12" fillId="0" borderId="3" xfId="0" applyFont="1" applyBorder="1" applyAlignment="1">
      <alignment horizontal="right" wrapText="1"/>
    </xf>
  </cellXfs>
  <cellStyles count="1">
    <cellStyle name="Normal" xfId="0" builtinId="0"/>
  </cellStyles>
  <dxfs count="2231">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1"/>
        <name val="Calibri"/>
        <family val="2"/>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alignment horizontal="right" vertical="bottom" textRotation="0" wrapText="0" indent="0" justifyLastLine="0" shrinkToFit="0" readingOrder="0"/>
    </dxf>
    <dxf>
      <font>
        <b/>
        <i val="0"/>
        <strike val="0"/>
        <condense val="0"/>
        <extend val="0"/>
        <outline val="0"/>
        <shadow val="0"/>
        <u val="none"/>
        <vertAlign val="baseline"/>
        <sz val="11"/>
        <color theme="0"/>
        <name val="Calibri (Body)"/>
        <scheme val="none"/>
      </font>
      <numFmt numFmtId="164" formatCode="0.0"/>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minor"/>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none"/>
      </font>
      <numFmt numFmtId="164" formatCode="0.0"/>
    </dxf>
    <dxf>
      <font>
        <b val="0"/>
        <i val="0"/>
        <strike val="0"/>
        <condense val="0"/>
        <extend val="0"/>
        <outline val="0"/>
        <shadow val="0"/>
        <u val="none"/>
        <vertAlign val="baseline"/>
        <sz val="11"/>
        <color theme="1"/>
        <name val="Calibri"/>
        <family val="2"/>
        <scheme val="minor"/>
      </font>
      <numFmt numFmtId="164" formatCode="0.0"/>
    </dxf>
    <dxf>
      <font>
        <b val="0"/>
        <i val="0"/>
        <strike val="0"/>
        <condense val="0"/>
        <extend val="0"/>
        <outline val="0"/>
        <shadow val="0"/>
        <u val="none"/>
        <vertAlign val="baseline"/>
        <sz val="11"/>
        <color theme="1"/>
        <name val="Calibri"/>
        <family val="2"/>
        <scheme val="none"/>
      </font>
      <numFmt numFmtId="164" formatCode="0.0"/>
    </dxf>
    <dxf>
      <font>
        <b/>
        <i val="0"/>
        <strike val="0"/>
        <condense val="0"/>
        <extend val="0"/>
        <outline val="0"/>
        <shadow val="0"/>
        <u val="none"/>
        <vertAlign val="baseline"/>
        <sz val="11"/>
        <color theme="0"/>
        <name val="Calibri (Body)"/>
        <scheme val="none"/>
      </font>
      <numFmt numFmtId="164" formatCode="0.0"/>
    </dxf>
    <dxf>
      <font>
        <strike val="0"/>
        <outline val="0"/>
        <shadow val="0"/>
        <u val="none"/>
        <vertAlign val="baseline"/>
        <sz val="12"/>
        <name val="Calibri"/>
        <family val="2"/>
        <scheme val="minor"/>
      </font>
      <alignment textRotation="0" wrapText="1"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right" vertical="bottom" textRotation="0" wrapText="1" indent="0" justifyLastLine="0" shrinkToFit="0" readingOrder="0"/>
    </dxf>
    <dxf>
      <font>
        <strike val="0"/>
        <outline val="0"/>
        <shadow val="0"/>
        <u val="none"/>
        <vertAlign val="baseline"/>
        <sz val="12"/>
        <name val="Calibri"/>
        <family val="2"/>
        <scheme val="minor"/>
      </font>
      <alignment textRotation="0" wrapText="1" justifyLastLine="0" shrinkToFit="0" readingOrder="0"/>
    </dxf>
    <dxf>
      <border diagonalUp="0" diagonalDown="0">
        <left/>
        <right/>
        <top style="thin">
          <color rgb="FF000000"/>
        </top>
        <bottom style="thin">
          <color rgb="FF000000"/>
        </bottom>
      </border>
    </dxf>
    <dxf>
      <font>
        <strike val="0"/>
        <outline val="0"/>
        <shadow val="0"/>
        <u val="none"/>
        <vertAlign val="baseline"/>
        <sz val="12"/>
        <name val="Calibri"/>
        <family val="2"/>
        <scheme val="minor"/>
      </font>
      <alignment textRotation="0" wrapText="1" justifyLastLine="0" shrinkToFit="0" readingOrder="0"/>
    </dxf>
    <dxf>
      <border outline="0">
        <bottom style="thin">
          <color rgb="FF000000"/>
        </bottom>
      </border>
    </dxf>
    <dxf>
      <font>
        <strike val="0"/>
        <outline val="0"/>
        <shadow val="0"/>
        <u val="none"/>
        <vertAlign val="baseline"/>
        <sz val="12"/>
        <name val="Calibri"/>
        <family val="2"/>
        <scheme val="minor"/>
      </font>
      <alignment horizontal="left"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8" xr:uid="{E28FC55B-D1D6-3141-99C0-2693B8EB4BD5}" name="Table23" displayName="Table23" ref="A11:D43" totalsRowShown="0" headerRowDxfId="2230" dataDxfId="2228" headerRowBorderDxfId="2229" tableBorderDxfId="2227">
  <autoFilter ref="A11:D43" xr:uid="{E28FC55B-D1D6-3141-99C0-2693B8EB4BD5}"/>
  <tableColumns count="4">
    <tableColumn id="2" xr3:uid="{0C8F1765-0BDD-8447-86BE-6B0714AB8A20}" name="Indicator " dataDxfId="2226"/>
    <tableColumn id="1" xr3:uid="{3F0AD4DD-6ABE-DE45-BBE6-BBBE28F3F7EB}" name="CRPD Article" dataDxfId="2225"/>
    <tableColumn id="4" xr3:uid="{266A4C7E-78A7-D14E-8A0A-B46728E8EA2A}" name="SDG indicator" dataDxfId="2224"/>
    <tableColumn id="3" xr3:uid="{3CDA0B17-A78F-104C-9DF3-9B56139C292C}" name="Indicator reference in results tables" dataDxfId="222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C58420A-50A0-5C4D-9F8E-392C40263DFE}" name="Table_P2.2_Share_of_all_adults_with_some_functional_difficulty_by_type_of_functional_difficulty_Percentage" displayName="Table_P2.2_Share_of_all_adults_with_some_functional_difficulty_by_type_of_functional_difficulty_Percentage" ref="A10:G15" totalsRowShown="0" headerRowDxfId="2171" dataDxfId="2170">
  <autoFilter ref="A10:G15" xr:uid="{AC58420A-50A0-5C4D-9F8E-392C40263DFE}"/>
  <tableColumns count="7">
    <tableColumn id="1" xr3:uid="{0514C721-CEAC-8A44-8B18-8795DA7B2D3E}" name="Region" dataDxfId="2169"/>
    <tableColumn id="2" xr3:uid="{0780DDAA-3339-6444-974A-1890EAA44A15}" name="Seeing" dataDxfId="2168"/>
    <tableColumn id="3" xr3:uid="{52019B54-EF40-8B42-BBA1-7945330A2B1E}" name="Hearing" dataDxfId="2167"/>
    <tableColumn id="4" xr3:uid="{E45B522F-2CB6-1B48-A2E2-6FCF7801E543}" name="Mobility" dataDxfId="2166"/>
    <tableColumn id="5" xr3:uid="{FD40E942-8CDB-1F4E-93EF-59DBCF96F984}" name="Cognition" dataDxfId="2165"/>
    <tableColumn id="6" xr3:uid="{D6E79166-3E37-A547-8E54-6AD2C57A9C88}" name="Self-Care" dataDxfId="2164"/>
    <tableColumn id="7" xr3:uid="{6E9C5AA6-C1C2-A74E-B3E6-5AEFC0AEB611}" name="Communication" dataDxfId="2163"/>
  </tableColumns>
  <tableStyleInfo name="TableStyleMedium2" showFirstColumn="1"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8A1CEC03-72BE-1A4F-B053-261F31F5B8B0}" name="Table_E4.4.b_Share_of_rural_residents_who_have_completed_secondary_school_or_higher_Percentage_disaggregation_b" displayName="Table_E4.4.b_Share_of_rural_residents_who_have_completed_secondary_school_or_higher_Percentage_disaggregation_b" ref="G26:N31" totalsRowShown="0" headerRowDxfId="1432" dataDxfId="1431">
  <autoFilter ref="G26:N31" xr:uid="{8A1CEC03-72BE-1A4F-B053-261F31F5B8B0}"/>
  <tableColumns count="8">
    <tableColumn id="1" xr3:uid="{6C1AEFC4-5172-E14C-9367-24CE70338DEA}" name="Region" dataDxfId="1430"/>
    <tableColumn id="2" xr3:uid="{BAFC5485-527B-0C4B-B9A9-E277F524FBC8}" name="No difficulty" dataDxfId="1429"/>
    <tableColumn id="3" xr3:uid="{CAD96C20-4599-0D44-A14F-53E95790EE7C}" name="Some difficulty" dataDxfId="1428"/>
    <tableColumn id="4" xr3:uid="{705E8448-D74C-374F-9D31-1E9314DC488D}" name="Difference" dataDxfId="1427"/>
    <tableColumn id="5" xr3:uid="{1C1EEFCF-C4D5-AE4C-8A76-F4FAD4616CA1}" name="Statistical Significance of the Difference" dataDxfId="1426"/>
    <tableColumn id="6" xr3:uid="{5EBA61FE-2A16-E740-872C-11CEBD03283E}" name="At least a lot of difficulty" dataDxfId="1425"/>
    <tableColumn id="7" xr3:uid="{21CD3579-F1C2-BD4D-8F11-E0D787E8CD8E}" name="Difference No difficulty &amp; At least a lot of difficulty" dataDxfId="1424"/>
    <tableColumn id="8" xr3:uid="{9EA5BF16-D068-344F-ADDE-7E78872FA7D8}" name="Statistical Significance of the Difference (No difficulty vs At least a lot)" dataDxfId="1423"/>
  </tableColumns>
  <tableStyleInfo name="TableStyleMedium2" showFirstColumn="1"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2367A174-6CCF-1542-A4E7-06A0512CED4C}" name="Table_E4.4.c_Share_of_rural_residents_who_have_completed_secondary_school_or_higher_Percentage_disaggregation_c" displayName="Table_E4.4.c_Share_of_rural_residents_who_have_completed_secondary_school_or_higher_Percentage_disaggregation_c" ref="P26:T31" totalsRowShown="0" headerRowDxfId="1422" dataDxfId="1421">
  <autoFilter ref="P26:T31" xr:uid="{2367A174-6CCF-1542-A4E7-06A0512CED4C}"/>
  <tableColumns count="5">
    <tableColumn id="1" xr3:uid="{6BFB9096-4673-BB40-BE78-123E88DAE520}" name="Region" dataDxfId="1420"/>
    <tableColumn id="2" xr3:uid="{608D5734-D073-CD4E-AB0F-14AAA7DAB114}" name="No or some difficulty" dataDxfId="1419"/>
    <tableColumn id="3" xr3:uid="{0725E5D2-A089-CE46-AE68-065451CAC520}" name="At least a lot of difficulty" dataDxfId="1418"/>
    <tableColumn id="4" xr3:uid="{F48874C3-A1A3-774C-9249-DE3A813D49CE}" name="Difference" dataDxfId="1417"/>
    <tableColumn id="5" xr3:uid="{A201F6A4-9ACD-9048-A590-4034EA9E8854}" name="Statistical Significance of the Difference" dataDxfId="1416"/>
  </tableColumns>
  <tableStyleInfo name="TableStyleMedium2" showFirstColumn="1"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A27E924F-516A-AA4B-A478-4FA9F570C673}" name="Table_E4.5.a_Share_of_urban_residents_who_have_completed_secondary_school_or_higher_Percentage_disaggregation_a" displayName="Table_E4.5.a_Share_of_urban_residents_who_have_completed_secondary_school_or_higher_Percentage_disaggregation_a" ref="A34:E39" totalsRowShown="0" headerRowDxfId="1415" dataDxfId="1414">
  <autoFilter ref="A34:E39" xr:uid="{A27E924F-516A-AA4B-A478-4FA9F570C673}"/>
  <tableColumns count="5">
    <tableColumn id="1" xr3:uid="{BD29203E-749F-224A-802F-C96AB1313FD8}" name="Region" dataDxfId="1413"/>
    <tableColumn id="2" xr3:uid="{3C943746-7800-0440-A195-BB7192056E88}" name="No difficulty" dataDxfId="1412"/>
    <tableColumn id="3" xr3:uid="{D9EBFAAE-FA40-3541-9A74-90F8FB1A9627}" name="Any difficulty" dataDxfId="1411"/>
    <tableColumn id="4" xr3:uid="{A0142A5E-4302-4B43-8C49-07FF772FD292}" name="Difference" dataDxfId="1410"/>
    <tableColumn id="5" xr3:uid="{33993A1B-CF42-1947-B4C7-6B010E093AAA}" name="Statistical Significance of the Difference" dataDxfId="1409"/>
  </tableColumns>
  <tableStyleInfo name="TableStyleMedium2" showFirstColumn="1"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8393B296-F647-1549-B8A1-D42740E85491}" name="Table_E4.5.b_Share_of_urban_residents_who_have_completed_secondary_school_or_higher_Percentage_disaggregation_b" displayName="Table_E4.5.b_Share_of_urban_residents_who_have_completed_secondary_school_or_higher_Percentage_disaggregation_b" ref="G34:N39" totalsRowShown="0" headerRowDxfId="1408" dataDxfId="1407">
  <autoFilter ref="G34:N39" xr:uid="{8393B296-F647-1549-B8A1-D42740E85491}"/>
  <tableColumns count="8">
    <tableColumn id="1" xr3:uid="{21C67BCB-9021-7C4E-9504-99EEAECA3877}" name="Region" dataDxfId="1406"/>
    <tableColumn id="2" xr3:uid="{8460940E-75EA-7A40-8917-5F0D7D135A86}" name="No difficulty" dataDxfId="1405"/>
    <tableColumn id="3" xr3:uid="{395C3EEB-C976-2B46-9FBD-07A945AA9CE1}" name="Some difficulty" dataDxfId="1404"/>
    <tableColumn id="4" xr3:uid="{479DE67B-7FF2-294E-9E63-EBEED93B6164}" name="Difference" dataDxfId="1403"/>
    <tableColumn id="5" xr3:uid="{EEFB6D0E-D1E3-7040-88ED-E8D703970B89}" name="Statistical Significance of the Difference" dataDxfId="1402"/>
    <tableColumn id="6" xr3:uid="{8FB40606-1108-2E46-8AD8-4BA5EE78682C}" name="At least a lot of difficulty" dataDxfId="1401"/>
    <tableColumn id="7" xr3:uid="{B8F9BF49-D30A-3242-BFE7-D63D038D6740}" name="Difference No difficulty &amp; At least a lot of difficulty" dataDxfId="1400"/>
    <tableColumn id="8" xr3:uid="{F2DAFC8E-B878-C645-A0D1-E0A57ED28904}" name="Statistical Significance of the Difference (No difficulty vs At least a lot)" dataDxfId="1399"/>
  </tableColumns>
  <tableStyleInfo name="TableStyleMedium2" showFirstColumn="1"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D8CA63DB-3314-6D4C-A146-328DE0CE972E}" name="Table_E4.5.c_Share_of_urban_residents_who_have_completed_secondary_school_or_higher_Percentage_disaggregation_c" displayName="Table_E4.5.c_Share_of_urban_residents_who_have_completed_secondary_school_or_higher_Percentage_disaggregation_c" ref="P34:T39" totalsRowShown="0" headerRowDxfId="1398" dataDxfId="1397">
  <autoFilter ref="P34:T39" xr:uid="{D8CA63DB-3314-6D4C-A146-328DE0CE972E}"/>
  <tableColumns count="5">
    <tableColumn id="1" xr3:uid="{04B5A5D5-49EC-A24E-BDA3-545C8D28C498}" name="Region" dataDxfId="1396"/>
    <tableColumn id="2" xr3:uid="{9E6486D4-5010-6443-8C1D-5DF07CF1826D}" name="No or some difficulty" dataDxfId="1395"/>
    <tableColumn id="3" xr3:uid="{038F80A2-650A-7544-A9AE-72BF21EF5002}" name="At least a lot of difficulty" dataDxfId="1394"/>
    <tableColumn id="4" xr3:uid="{971884CB-DD05-F648-8BC0-131F46EF76FB}" name="Difference" dataDxfId="1393"/>
    <tableColumn id="5" xr3:uid="{9463F48D-24F2-6248-97EF-4CC661EECA90}" name="Statistical Significance of the Difference" dataDxfId="1392"/>
  </tableColumns>
  <tableStyleInfo name="TableStyleMedium2" showFirstColumn="1"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E8A39960-F761-7944-B989-3C55CB1260A4}" name="Table_E4.6.a_Share_of_adults_age_15_to_44_who_have_completed_secondary_school_or_higher_Percentage_disaggregation_a" displayName="Table_E4.6.a_Share_of_adults_age_15_to_44_who_have_completed_secondary_school_or_higher_Percentage_disaggregation_a" ref="A42:E47" totalsRowShown="0" headerRowDxfId="1391" dataDxfId="1390">
  <autoFilter ref="A42:E47" xr:uid="{E8A39960-F761-7944-B989-3C55CB1260A4}"/>
  <tableColumns count="5">
    <tableColumn id="1" xr3:uid="{A1F16322-D2D3-D548-9115-B91A1DBEE9AB}" name="Region" dataDxfId="1389"/>
    <tableColumn id="2" xr3:uid="{9C3A362D-FA14-714D-977F-897C291B86C8}" name="No difficulty" dataDxfId="1388"/>
    <tableColumn id="3" xr3:uid="{B944E1D0-FC69-604E-9D0B-3E7D8BF1E0EC}" name="Any difficulty" dataDxfId="1387"/>
    <tableColumn id="4" xr3:uid="{E896BA16-CFD0-324E-BE64-45F73D6E87EB}" name="Difference" dataDxfId="1386"/>
    <tableColumn id="5" xr3:uid="{AD5C14B1-E602-5146-B0A9-DFCFC550D32A}" name="Statistical Significance of the Difference" dataDxfId="1385"/>
  </tableColumns>
  <tableStyleInfo name="TableStyleMedium2" showFirstColumn="1"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CCAA9C08-EDD9-134B-A2EA-571415FA3C52}" name="Table_E4.6.b_Share_of_adults_age_15_to_44_who_have_completed_secondary_school_or_higher_Percentage_disaggregation_b" displayName="Table_E4.6.b_Share_of_adults_age_15_to_44_who_have_completed_secondary_school_or_higher_Percentage_disaggregation_b" ref="G42:N47" totalsRowShown="0" headerRowDxfId="1384" dataDxfId="1383">
  <autoFilter ref="G42:N47" xr:uid="{CCAA9C08-EDD9-134B-A2EA-571415FA3C52}"/>
  <tableColumns count="8">
    <tableColumn id="1" xr3:uid="{5D178213-CB9C-B340-9693-17766B791CEA}" name="Region" dataDxfId="1382"/>
    <tableColumn id="2" xr3:uid="{270E121F-6406-0F4E-A0F7-AE155DFBC26B}" name="No difficulty" dataDxfId="1381"/>
    <tableColumn id="3" xr3:uid="{9FFED907-E257-AD4E-A2DA-383BA51A759B}" name="Some difficulty" dataDxfId="1380"/>
    <tableColumn id="4" xr3:uid="{01DCE9B8-7940-2D43-ABF0-ECD08A2CF006}" name="Difference" dataDxfId="1379"/>
    <tableColumn id="5" xr3:uid="{D6A905F1-FC9E-8847-97BC-25871FBC1204}" name="Statistical Significance of the Difference" dataDxfId="1378"/>
    <tableColumn id="6" xr3:uid="{3C7B07DE-988C-D442-A8E0-99F26B235D54}" name="At least a lot of difficulty" dataDxfId="1377"/>
    <tableColumn id="7" xr3:uid="{3A428806-B263-2942-A37F-D74A47A27726}" name="Difference No difficulty &amp; At least a lot of difficulty" dataDxfId="1376"/>
    <tableColumn id="8" xr3:uid="{1B57996F-87C9-F043-8C97-DBDEE5A4C471}" name="Statistical Significance of the Difference (No difficulty vs At least a lot)" dataDxfId="1375"/>
  </tableColumns>
  <tableStyleInfo name="TableStyleMedium2" showFirstColumn="1"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86299BB7-1279-3E40-A1DC-06AB6091A55C}" name="Table_E4.6.c_Share_of_adults_age_15_to_44_who_have_completed_secondary_school_or_higher_Percentage_disaggregation_c" displayName="Table_E4.6.c_Share_of_adults_age_15_to_44_who_have_completed_secondary_school_or_higher_Percentage_disaggregation_c" ref="P42:T47" totalsRowShown="0" headerRowDxfId="1374" dataDxfId="1373">
  <autoFilter ref="P42:T47" xr:uid="{86299BB7-1279-3E40-A1DC-06AB6091A55C}"/>
  <tableColumns count="5">
    <tableColumn id="1" xr3:uid="{776B33BC-A69A-9741-9BCA-0716AF3AC58E}" name="Region" dataDxfId="1372"/>
    <tableColumn id="2" xr3:uid="{5E65B858-E73D-0449-809F-918BC32CA7E3}" name="No or some difficulty" dataDxfId="1371"/>
    <tableColumn id="3" xr3:uid="{E667BD34-F849-F14C-B5DF-BC3EB9C644E4}" name="At least a lot of difficulty" dataDxfId="1370"/>
    <tableColumn id="4" xr3:uid="{07C8109D-A6EB-3642-B1D6-B1DAAC8CC401}" name="Difference" dataDxfId="1369"/>
    <tableColumn id="5" xr3:uid="{FCE5852C-69CC-F54E-8AF1-B096DCE708B8}" name="Statistical Significance of the Difference" dataDxfId="1368"/>
  </tableColumns>
  <tableStyleInfo name="TableStyleMedium2" showFirstColumn="1"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A6901020-9C49-1246-83AF-65A86E08BE9B}" name="Table_E4.7.a_Share_of_adults_age_45_and_older_who_have_completed_secondary_school_or_higher_Percentage_disaggregation_a" displayName="Table_E4.7.a_Share_of_adults_age_45_and_older_who_have_completed_secondary_school_or_higher_Percentage_disaggregation_a" ref="A50:E55" totalsRowShown="0" headerRowDxfId="1367" dataDxfId="1366">
  <autoFilter ref="A50:E55" xr:uid="{A6901020-9C49-1246-83AF-65A86E08BE9B}"/>
  <tableColumns count="5">
    <tableColumn id="1" xr3:uid="{736C07DA-26AF-0E4B-9459-1AC03530FD4A}" name="Region" dataDxfId="1365"/>
    <tableColumn id="2" xr3:uid="{275657E8-4BE9-B641-A0FE-3222B3F1D1A6}" name="No difficulty" dataDxfId="1364"/>
    <tableColumn id="3" xr3:uid="{C70ED504-36F9-2C42-B7CE-5B500CCB02AD}" name="Any difficulty" dataDxfId="1363"/>
    <tableColumn id="4" xr3:uid="{F7713DEE-6DE8-CD44-988E-BAB80D546CDB}" name="Difference" dataDxfId="1362"/>
    <tableColumn id="5" xr3:uid="{EDF4D9DF-62BF-B54D-808C-0755385D6064}" name="Statistical Significance of the Difference" dataDxfId="1361"/>
  </tableColumns>
  <tableStyleInfo name="TableStyleMedium2" showFirstColumn="1"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26958657-75A9-1247-88B7-597EA0363F43}" name="Table_E4.7.b_Share_of_adults_age_45_and_older_who_have_completed_secondary_school_or_higher_Percentage_disaggregation_b" displayName="Table_E4.7.b_Share_of_adults_age_45_and_older_who_have_completed_secondary_school_or_higher_Percentage_disaggregation_b" ref="G50:N55" totalsRowShown="0" headerRowDxfId="1360" dataDxfId="1359">
  <autoFilter ref="G50:N55" xr:uid="{26958657-75A9-1247-88B7-597EA0363F43}"/>
  <tableColumns count="8">
    <tableColumn id="1" xr3:uid="{35F030BE-E177-FC43-8009-C76323B48035}" name="Region" dataDxfId="1358"/>
    <tableColumn id="2" xr3:uid="{1E9B6377-9245-5D46-9C2D-2AB0A38D415A}" name="No difficulty" dataDxfId="1357"/>
    <tableColumn id="3" xr3:uid="{9D127A8E-6980-0344-B2C6-CBB78FD7A34B}" name="Some difficulty" dataDxfId="1356"/>
    <tableColumn id="4" xr3:uid="{AA7B404F-0F38-3042-B223-E52B9FF6AAFD}" name="Difference" dataDxfId="1355"/>
    <tableColumn id="5" xr3:uid="{4827F6E2-BBBD-D44E-B8F1-6ACE51203029}" name="Statistical Significance of the Difference" dataDxfId="1354"/>
    <tableColumn id="6" xr3:uid="{A31C47D6-F92B-D643-9814-8CBE2ACB368E}" name="At least a lot of difficulty" dataDxfId="1353"/>
    <tableColumn id="7" xr3:uid="{D787B39A-8909-044F-8F5B-4DFFFB0985DE}" name="Difference No difficulty &amp; At least a lot of difficulty" dataDxfId="1352"/>
    <tableColumn id="8" xr3:uid="{11AA4B65-51EA-B440-8D91-0BA4330D3685}" name="Statistical Significance of the Difference (No difficulty vs At least a lot)" dataDxfId="1351"/>
  </tableColumns>
  <tableStyleInfo name="TableStyleMedium2"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B28267D-E117-104A-9430-504BD1E6D554}" name="Table_P2.3_Share_of_all_adults_with_at_least_a_lot_of_functional_difficulty_by_type_of_functional_difficulty_Percentage" displayName="Table_P2.3_Share_of_all_adults_with_at_least_a_lot_of_functional_difficulty_by_type_of_functional_difficulty_Percentage" ref="A18:G23" totalsRowShown="0" headerRowDxfId="2162" dataDxfId="2161">
  <autoFilter ref="A18:G23" xr:uid="{9B28267D-E117-104A-9430-504BD1E6D554}"/>
  <tableColumns count="7">
    <tableColumn id="1" xr3:uid="{A1787101-F379-E542-9932-DE1BAD9F5EB0}" name="Region" dataDxfId="2160"/>
    <tableColumn id="2" xr3:uid="{DC24F522-9D0C-3749-9CB8-5C7A0255CEC2}" name="Seeing" dataDxfId="2159"/>
    <tableColumn id="3" xr3:uid="{5EE8A482-43A7-2844-A275-46403C7CDD3D}" name="Hearing" dataDxfId="2158"/>
    <tableColumn id="4" xr3:uid="{040B556E-A573-8B49-A5E2-D57AE61BFDBC}" name="Mobility" dataDxfId="2157"/>
    <tableColumn id="5" xr3:uid="{014C9079-5698-2749-94A9-BC7567620AC1}" name="Cognition" dataDxfId="2156"/>
    <tableColumn id="6" xr3:uid="{4D37C706-7755-6143-AA7C-AC97C9DDCC62}" name="Self-Care" dataDxfId="2155"/>
    <tableColumn id="7" xr3:uid="{5FB14F61-4D6F-1C4B-9B62-F9224E62C732}" name="Communication" dataDxfId="2154"/>
  </tableColumns>
  <tableStyleInfo name="TableStyleMedium2" showFirstColumn="1"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2EC90C7F-1325-524A-A7AC-63EEF7736BD1}" name="Table_E4.7.c_Share_of_adults_age_45_and_older_who_have_completed_secondary_school_or_higher_Percentage_disaggregation_c" displayName="Table_E4.7.c_Share_of_adults_age_45_and_older_who_have_completed_secondary_school_or_higher_Percentage_disaggregation_c" ref="P50:T55" totalsRowShown="0" headerRowDxfId="1350" dataDxfId="1349">
  <autoFilter ref="P50:T55" xr:uid="{2EC90C7F-1325-524A-A7AC-63EEF7736BD1}"/>
  <tableColumns count="5">
    <tableColumn id="1" xr3:uid="{FA8C59E4-1287-074B-A219-6F6D8CD6BE4E}" name="Region" dataDxfId="1348"/>
    <tableColumn id="2" xr3:uid="{C70E7BDE-CBC2-E948-9408-3A218075454B}" name="No or some difficulty" dataDxfId="1347"/>
    <tableColumn id="3" xr3:uid="{AA4B5324-57DB-3543-BA73-73C033B14D77}" name="At least a lot of difficulty" dataDxfId="1346"/>
    <tableColumn id="4" xr3:uid="{61319B02-92EA-F143-9709-26770E35AF28}" name="Difference" dataDxfId="1345"/>
    <tableColumn id="5" xr3:uid="{84970EDC-648C-D446-A8B3-85F76D082DFA}" name="Statistical Significance of the Difference" dataDxfId="1344"/>
  </tableColumns>
  <tableStyleInfo name="TableStyleMedium2" showFirstColumn="1"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5732BB97-0681-C045-A23C-E1C8FB686048}" name="Table_H1.1.a_Share_of_all_adults_in_households_using_safely_managed_drinking_water_Percentage_disaggregation_a" displayName="Table_H1.1.a_Share_of_all_adults_in_households_using_safely_managed_drinking_water_Percentage_disaggregation_a" ref="A2:E7" totalsRowShown="0" headerRowDxfId="1343" dataDxfId="1342">
  <autoFilter ref="A2:E7" xr:uid="{5732BB97-0681-C045-A23C-E1C8FB686048}"/>
  <tableColumns count="5">
    <tableColumn id="1" xr3:uid="{1D9A09FF-030B-4143-8926-39CBCAB01767}" name="Region" dataDxfId="1341"/>
    <tableColumn id="2" xr3:uid="{FC674CC4-C084-2A40-8734-F53F08A1229C}" name="No difficulty" dataDxfId="1340"/>
    <tableColumn id="3" xr3:uid="{A971795A-856A-9343-AE63-0DE5FB648D9D}" name="Any difficulty" dataDxfId="1339"/>
    <tableColumn id="4" xr3:uid="{893FFF4A-CDC6-2542-A889-F45C2E5FE2EF}" name="Difference" dataDxfId="1338"/>
    <tableColumn id="5" xr3:uid="{E535DBEF-2725-144B-B581-98730D548F1A}" name="Statistical Significance of the Difference" dataDxfId="1337"/>
  </tableColumns>
  <tableStyleInfo name="TableStyleMedium2" showFirstColumn="1"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339763C6-3BF6-D44D-98A2-BAFE83F2DC21}" name="Table_H1.1.b_Share_of_all_adults_in_households_using_safely_managed_drinking_water_Percentage_disaggregation_b" displayName="Table_H1.1.b_Share_of_all_adults_in_households_using_safely_managed_drinking_water_Percentage_disaggregation_b" ref="G2:N7" totalsRowShown="0" headerRowDxfId="1336" dataDxfId="1335">
  <autoFilter ref="G2:N7" xr:uid="{339763C6-3BF6-D44D-98A2-BAFE83F2DC21}"/>
  <tableColumns count="8">
    <tableColumn id="1" xr3:uid="{1907ED85-3A2F-8245-A731-2CF11D3CD9A1}" name="Region" dataDxfId="1334"/>
    <tableColumn id="2" xr3:uid="{7D16111E-49FE-8047-85C1-0FF205107D64}" name="No difficulty" dataDxfId="1333"/>
    <tableColumn id="3" xr3:uid="{0FEF130E-E140-6A45-A347-D0FE6326309D}" name="Some difficulty" dataDxfId="1332"/>
    <tableColumn id="4" xr3:uid="{90F61B3E-823D-A44C-9E5D-C14A47C96606}" name="Difference" dataDxfId="1331"/>
    <tableColumn id="5" xr3:uid="{444EE085-9C14-F446-930A-A496DC414261}" name="Statistical Significance of the Difference" dataDxfId="1330"/>
    <tableColumn id="6" xr3:uid="{5295C08E-01D6-C041-B554-989FE4437A91}" name="At least a lot of difficulty" dataDxfId="1329"/>
    <tableColumn id="7" xr3:uid="{D49A4140-49D9-3B4B-BBED-7541494F0D72}" name="Difference No difficulty &amp; At least a lot of difficulty" dataDxfId="1328"/>
    <tableColumn id="8" xr3:uid="{56A2207B-1F48-1645-931B-66313DB6DF83}" name="Statistical Significance of the Difference (No difficulty vs At least a lot)" dataDxfId="1327"/>
  </tableColumns>
  <tableStyleInfo name="TableStyleMedium2" showFirstColumn="1"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2AC43543-BC9C-6B4F-BCDA-BB03C57963C0}" name="Table_H1.1.c_Share_of_all_adults_in_households_using_safely_managed_drinking_water_Percentage_disaggregation_c" displayName="Table_H1.1.c_Share_of_all_adults_in_households_using_safely_managed_drinking_water_Percentage_disaggregation_c" ref="P2:T7" totalsRowShown="0" headerRowDxfId="1326" dataDxfId="1325">
  <autoFilter ref="P2:T7" xr:uid="{2AC43543-BC9C-6B4F-BCDA-BB03C57963C0}"/>
  <tableColumns count="5">
    <tableColumn id="1" xr3:uid="{790EE3D2-D9C9-E34F-924F-C1F400769291}" name="Region" dataDxfId="1324"/>
    <tableColumn id="2" xr3:uid="{8BF5E4C0-869D-0C4C-8B46-A22FD55EA48A}" name="No or some difficulty" dataDxfId="1323"/>
    <tableColumn id="3" xr3:uid="{D5439482-8A95-9E4E-B6E5-5D5C901AD537}" name="At least a lot of difficulty" dataDxfId="1322"/>
    <tableColumn id="4" xr3:uid="{88A46944-82B2-AC43-B1CF-ACD1DBE67356}" name="Difference" dataDxfId="1321"/>
    <tableColumn id="5" xr3:uid="{7EC90BFC-E46C-844A-9838-9F1558C4000D}" name="Statistical Significance of the Difference" dataDxfId="1320"/>
  </tableColumns>
  <tableStyleInfo name="TableStyleMedium2" showFirstColumn="1"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D9FF00F4-B894-2649-B501-BBB27D1A012F}" name="Table_H1.2.a_Share_of_females_in_households_using_safely_managed_drinking_water_Percentage_disaggregation_a" displayName="Table_H1.2.a_Share_of_females_in_households_using_safely_managed_drinking_water_Percentage_disaggregation_a" ref="A10:E15" totalsRowShown="0" headerRowDxfId="1319" dataDxfId="1318">
  <autoFilter ref="A10:E15" xr:uid="{D9FF00F4-B894-2649-B501-BBB27D1A012F}"/>
  <tableColumns count="5">
    <tableColumn id="1" xr3:uid="{D09B0471-2710-314E-8E11-B7F784075C79}" name="Region" dataDxfId="1317"/>
    <tableColumn id="2" xr3:uid="{60A73B38-2032-2F4F-B99F-3425901EE917}" name="No difficulty" dataDxfId="1316"/>
    <tableColumn id="3" xr3:uid="{D2BF2B92-CBC3-9646-B706-82BF39091A10}" name="Any difficulty" dataDxfId="1315"/>
    <tableColumn id="4" xr3:uid="{5F234B12-4947-3E4D-B5FF-BD4094D9F6C0}" name="Difference" dataDxfId="1314"/>
    <tableColumn id="5" xr3:uid="{6A97DB07-BD61-894D-B565-1DFC45C3F3B0}" name="Statistical Significance of the Difference" dataDxfId="1313"/>
  </tableColumns>
  <tableStyleInfo name="TableStyleMedium2" showFirstColumn="1"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CFFCF6DD-E74F-F543-9A24-FC1A8CF37DF8}" name="Table_H1.2.b_Share_of_females_in_households_using_safely_managed_drinking_water_Percentage_disaggregation_b" displayName="Table_H1.2.b_Share_of_females_in_households_using_safely_managed_drinking_water_Percentage_disaggregation_b" ref="G10:N15" totalsRowShown="0" headerRowDxfId="1312" dataDxfId="1311">
  <autoFilter ref="G10:N15" xr:uid="{CFFCF6DD-E74F-F543-9A24-FC1A8CF37DF8}"/>
  <tableColumns count="8">
    <tableColumn id="1" xr3:uid="{8B79EFBA-D3EC-164A-84E8-77A78A8C331D}" name="Region" dataDxfId="1310"/>
    <tableColumn id="2" xr3:uid="{41061E00-4D40-AE47-A9E1-092910E471F4}" name="No difficulty" dataDxfId="1309"/>
    <tableColumn id="3" xr3:uid="{86CFBC88-B74D-C949-AF2D-137522F083EA}" name="Some difficulty" dataDxfId="1308"/>
    <tableColumn id="4" xr3:uid="{E7D4E175-2C56-6C40-8C2F-E7246C08EBF9}" name="Difference" dataDxfId="1307"/>
    <tableColumn id="5" xr3:uid="{75506735-22FA-1044-88B3-A0F5189254A0}" name="Statistical Significance of the Difference" dataDxfId="1306"/>
    <tableColumn id="6" xr3:uid="{AD5B4D94-ED5D-0348-BC23-E9DA0031FC42}" name="At least a lot of difficulty" dataDxfId="1305"/>
    <tableColumn id="7" xr3:uid="{C455758E-A626-5142-BB8C-EACEEB34EADE}" name="Difference No difficulty &amp; At least a lot of difficulty" dataDxfId="1304"/>
    <tableColumn id="8" xr3:uid="{0312D3F4-D7C3-D34D-B9B0-B6AEAFF3B276}" name="Statistical Significance of the Difference (No difficulty vs At least a lot)" dataDxfId="1303"/>
  </tableColumns>
  <tableStyleInfo name="TableStyleMedium2" showFirstColumn="1"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ACA735E5-5E48-714D-A16B-5A09C543C4AC}" name="Table_H1.2.c_Share_of_females_in_households_using_safely_managed_drinking_water_Percentage_disaggregation_c" displayName="Table_H1.2.c_Share_of_females_in_households_using_safely_managed_drinking_water_Percentage_disaggregation_c" ref="P10:T15" totalsRowShown="0" headerRowDxfId="1302" dataDxfId="1301">
  <autoFilter ref="P10:T15" xr:uid="{ACA735E5-5E48-714D-A16B-5A09C543C4AC}"/>
  <tableColumns count="5">
    <tableColumn id="1" xr3:uid="{C1250795-5E58-B64D-8420-9D3DAD68CFC7}" name="Region" dataDxfId="1300"/>
    <tableColumn id="2" xr3:uid="{43DC1845-F92B-C845-865D-519A58E4E245}" name="No or some difficulty" dataDxfId="1299"/>
    <tableColumn id="3" xr3:uid="{CDA2E896-D211-CF43-BB09-1861724E8FF4}" name="At least a lot of difficulty" dataDxfId="1298"/>
    <tableColumn id="4" xr3:uid="{9902A15F-3D15-9A45-B89B-2DE308911BE7}" name="Difference" dataDxfId="1297"/>
    <tableColumn id="5" xr3:uid="{46F2E2A4-DFAA-8B4B-9FC0-F3687FA50051}" name="Statistical Significance of the Difference" dataDxfId="1296"/>
  </tableColumns>
  <tableStyleInfo name="TableStyleMedium2" showFirstColumn="1"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113C68D8-CCF2-BD4D-8516-DDD9A09553C9}" name="Table_H1.3.a_Share_of_males_in_households_using_safely_managed_drinking_water_Percentage_disaggregation_a" displayName="Table_H1.3.a_Share_of_males_in_households_using_safely_managed_drinking_water_Percentage_disaggregation_a" ref="A18:E23" totalsRowShown="0" headerRowDxfId="1295" dataDxfId="1294">
  <autoFilter ref="A18:E23" xr:uid="{113C68D8-CCF2-BD4D-8516-DDD9A09553C9}"/>
  <tableColumns count="5">
    <tableColumn id="1" xr3:uid="{E2631B20-52E0-3B4F-B4DC-11B450F428A4}" name="Region" dataDxfId="1293"/>
    <tableColumn id="2" xr3:uid="{A65BE986-F087-2D4F-A18A-4F618B984232}" name="No difficulty" dataDxfId="1292"/>
    <tableColumn id="3" xr3:uid="{3C715264-907A-5444-842F-330B34508FB1}" name="Any difficulty" dataDxfId="1291"/>
    <tableColumn id="4" xr3:uid="{34E64162-73DF-AB49-8A49-3FCDB69DD4DA}" name="Difference" dataDxfId="1290"/>
    <tableColumn id="5" xr3:uid="{B3EB6E9D-01E1-954F-8159-A2923AA86FC4}" name="Statistical Significance of the Difference" dataDxfId="1289"/>
  </tableColumns>
  <tableStyleInfo name="TableStyleMedium2" showFirstColumn="1"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9AB91E4A-DD2E-DD43-B941-9422BADE8BC0}" name="Table_H1.3.b_Share_of_males_in_households_using_safely_managed_drinking_water_Percentage_disaggregation_b" displayName="Table_H1.3.b_Share_of_males_in_households_using_safely_managed_drinking_water_Percentage_disaggregation_b" ref="G18:N23" totalsRowShown="0" headerRowDxfId="1288" dataDxfId="1287">
  <autoFilter ref="G18:N23" xr:uid="{9AB91E4A-DD2E-DD43-B941-9422BADE8BC0}"/>
  <tableColumns count="8">
    <tableColumn id="1" xr3:uid="{BB82EA09-E925-AE46-A859-E0F2557B6CAD}" name="Region" dataDxfId="1286"/>
    <tableColumn id="2" xr3:uid="{91697194-A872-224C-876B-D72F7A28FE62}" name="No difficulty" dataDxfId="1285"/>
    <tableColumn id="3" xr3:uid="{E164F7FD-8247-CB49-9582-4BEBF59B0D02}" name="Some difficulty" dataDxfId="1284"/>
    <tableColumn id="4" xr3:uid="{AF716282-FFAE-614F-BD48-AD49F7E4AE7B}" name="Difference" dataDxfId="1283"/>
    <tableColumn id="5" xr3:uid="{391160CF-FA97-AC49-9BDC-88882C63C281}" name="Statistical Significance of the Difference" dataDxfId="1282"/>
    <tableColumn id="6" xr3:uid="{534E0F4F-49B8-1849-84DA-4AE04681D3FB}" name="At least a lot of difficulty" dataDxfId="1281"/>
    <tableColumn id="7" xr3:uid="{9AD67A18-1731-A64A-B608-0F8483C88FFE}" name="Difference No difficulty &amp; At least a lot of difficulty" dataDxfId="1280"/>
    <tableColumn id="8" xr3:uid="{8EFFEB6A-C183-6E4D-B0B6-12F2652076AD}" name="Statistical Significance of the Difference (No difficulty vs At least a lot)" dataDxfId="1279"/>
  </tableColumns>
  <tableStyleInfo name="TableStyleMedium2" showFirstColumn="1"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BCC4C59F-49D9-1F42-BA01-33390B67A720}" name="Table_H1.3.c_Share_of_males_in_households_using_safely_managed_drinking_water_Percentage_disaggregation_c" displayName="Table_H1.3.c_Share_of_males_in_households_using_safely_managed_drinking_water_Percentage_disaggregation_c" ref="P18:T23" totalsRowShown="0" headerRowDxfId="1278" dataDxfId="1277">
  <autoFilter ref="P18:T23" xr:uid="{BCC4C59F-49D9-1F42-BA01-33390B67A720}"/>
  <tableColumns count="5">
    <tableColumn id="1" xr3:uid="{EFD850B6-0EE6-0446-AE90-AF92149AFDEF}" name="Region" dataDxfId="1276"/>
    <tableColumn id="2" xr3:uid="{003EDA12-1C2B-5547-9462-1E622C37CD1B}" name="No or some difficulty" dataDxfId="1275"/>
    <tableColumn id="3" xr3:uid="{E15A2A2E-8E61-DF40-8D52-E869FC78161D}" name="At least a lot of difficulty" dataDxfId="1274"/>
    <tableColumn id="4" xr3:uid="{F5A39B19-4C5A-2048-93FC-B08120A74D24}" name="Difference" dataDxfId="1273"/>
    <tableColumn id="5" xr3:uid="{43BAE8B4-FDFC-6A4F-A035-DE62E5F5E14F}" name="Statistical Significance of the Difference" dataDxfId="1272"/>
  </tableColumns>
  <tableStyleInfo name="TableStyleMedium2"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9ED645B-A0FB-7241-BA43-E82991E1EA5B}" name="Table_P3.1_Share_of_all_households_with_functional_difficulties_Percentage" displayName="Table_P3.1_Share_of_all_households_with_functional_difficulties_Percentage" ref="A2:D7" totalsRowShown="0" headerRowDxfId="2153" dataDxfId="2152">
  <autoFilter ref="A2:D7" xr:uid="{A9ED645B-A0FB-7241-BA43-E82991E1EA5B}"/>
  <tableColumns count="4">
    <tableColumn id="1" xr3:uid="{93F961FD-D2C3-1549-BA30-4222E686ED32}" name="Region" dataDxfId="2151"/>
    <tableColumn id="2" xr3:uid="{28BD08EB-67D0-A44A-9532-A5650A10976C}" name="Any difficulty" dataDxfId="2150"/>
    <tableColumn id="3" xr3:uid="{BB07FCC5-FE45-1F4F-8715-EBDE490E7214}" name="Some difficulty" dataDxfId="2149"/>
    <tableColumn id="4" xr3:uid="{D6CC40BC-BD90-8243-9265-940E5861EDE0}" name="At least a lot of difficulty" dataDxfId="2148"/>
  </tableColumns>
  <tableStyleInfo name="TableStyleMedium2" showFirstColumn="1"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3E5E25B5-1DEE-F045-A68D-DC05BF1EFF75}" name="Table_H1.4.a_Share_of_rural_residents_in_households_using_safely_managed_drinking_water_Percentage_disaggregation_a" displayName="Table_H1.4.a_Share_of_rural_residents_in_households_using_safely_managed_drinking_water_Percentage_disaggregation_a" ref="A26:E31" totalsRowShown="0" headerRowDxfId="1271" dataDxfId="1270">
  <autoFilter ref="A26:E31" xr:uid="{3E5E25B5-1DEE-F045-A68D-DC05BF1EFF75}"/>
  <tableColumns count="5">
    <tableColumn id="1" xr3:uid="{FCEA4D96-8572-6849-BC58-5E3052933C5B}" name="Region" dataDxfId="1269"/>
    <tableColumn id="2" xr3:uid="{F1E2CBAB-68D1-EB46-BB24-1FD2ED50BD5B}" name="No difficulty" dataDxfId="1268"/>
    <tableColumn id="3" xr3:uid="{0F44AA1D-DB03-874E-9E04-0A982F96BC93}" name="Any difficulty" dataDxfId="1267"/>
    <tableColumn id="4" xr3:uid="{A0E7339E-BBB6-1D4A-911E-5D384634A2C2}" name="Difference" dataDxfId="1266"/>
    <tableColumn id="5" xr3:uid="{B7F89651-029F-4F46-BABE-1EA127ACD502}" name="Statistical Significance of the Difference" dataDxfId="1265"/>
  </tableColumns>
  <tableStyleInfo name="TableStyleMedium2" showFirstColumn="1"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D954EE5F-77CA-1C43-A0E3-49C18D2BFD58}" name="Table_H1.4.b_Share_of_rural_residents_in_households_using_safely_managed_drinking_water_Percentage_disaggregation_b" displayName="Table_H1.4.b_Share_of_rural_residents_in_households_using_safely_managed_drinking_water_Percentage_disaggregation_b" ref="G26:N31" totalsRowShown="0" headerRowDxfId="1264" dataDxfId="1263">
  <autoFilter ref="G26:N31" xr:uid="{D954EE5F-77CA-1C43-A0E3-49C18D2BFD58}"/>
  <tableColumns count="8">
    <tableColumn id="1" xr3:uid="{C5752154-998F-F943-AB0F-F20A2CF0C70C}" name="Region" dataDxfId="1262"/>
    <tableColumn id="2" xr3:uid="{6ECDE802-6A62-7742-81CA-EF586882452D}" name="No difficulty" dataDxfId="1261"/>
    <tableColumn id="3" xr3:uid="{FCFEDFCB-B16F-B64B-91B6-C15618BA17F1}" name="Some difficulty" dataDxfId="1260"/>
    <tableColumn id="4" xr3:uid="{5D93CD25-7C85-694D-8DCC-A126213FD667}" name="Difference" dataDxfId="1259"/>
    <tableColumn id="5" xr3:uid="{EEA6B5ED-E4B8-2C43-B0EF-4B70F1BAE82F}" name="Statistical Significance of the Difference" dataDxfId="1258"/>
    <tableColumn id="6" xr3:uid="{A51BE191-B33C-3349-8D09-7D843411A5C2}" name="At least a lot of difficulty" dataDxfId="1257"/>
    <tableColumn id="7" xr3:uid="{FE8848EF-7CC5-3B45-B991-4200666CB4F5}" name="Difference No difficulty &amp; At least a lot of difficulty" dataDxfId="1256"/>
    <tableColumn id="8" xr3:uid="{BC65BB4E-B8B7-4246-B6F3-F4D1D0931F74}" name="Statistical Significance of the Difference (No difficulty vs At least a lot)" dataDxfId="1255"/>
  </tableColumns>
  <tableStyleInfo name="TableStyleMedium2" showFirstColumn="1"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B044FEDC-B7FB-4540-8B88-BB8896CE3C7B}" name="Table_H1.4.c_Share_of_rural_residents_in_households_using_safely_managed_drinking_water_Percentage_disaggregation_c" displayName="Table_H1.4.c_Share_of_rural_residents_in_households_using_safely_managed_drinking_water_Percentage_disaggregation_c" ref="P26:T31" totalsRowShown="0" headerRowDxfId="1254" dataDxfId="1253">
  <autoFilter ref="P26:T31" xr:uid="{B044FEDC-B7FB-4540-8B88-BB8896CE3C7B}"/>
  <tableColumns count="5">
    <tableColumn id="1" xr3:uid="{CF450798-20B3-9448-8A76-BBF176116A91}" name="Region" dataDxfId="1252"/>
    <tableColumn id="2" xr3:uid="{BE473C5B-0C26-304F-9E84-0AAB41376D34}" name="No or some difficulty" dataDxfId="1251"/>
    <tableColumn id="3" xr3:uid="{30079574-5B59-854A-80CC-AAB2A933C9B3}" name="At least a lot of difficulty" dataDxfId="1250"/>
    <tableColumn id="4" xr3:uid="{E7F282E2-E8FA-204B-B377-4F92B4212D99}" name="Difference" dataDxfId="1249"/>
    <tableColumn id="5" xr3:uid="{50948DB0-A19D-E249-891B-6E82859A6165}" name="Statistical Significance of the Difference" dataDxfId="1248"/>
  </tableColumns>
  <tableStyleInfo name="TableStyleMedium2" showFirstColumn="1"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38CDDF43-94B7-3040-89A0-2B79F426BCD8}" name="Table_H1.5.a_Share_of_urban_residents_in_households_using_safely_managed_drinking_water_Percentage_disaggregation_a" displayName="Table_H1.5.a_Share_of_urban_residents_in_households_using_safely_managed_drinking_water_Percentage_disaggregation_a" ref="A34:E39" totalsRowShown="0" headerRowDxfId="1247" dataDxfId="1246">
  <autoFilter ref="A34:E39" xr:uid="{38CDDF43-94B7-3040-89A0-2B79F426BCD8}"/>
  <tableColumns count="5">
    <tableColumn id="1" xr3:uid="{E8273CC8-D544-C04D-AFC9-56593ADE884E}" name="Region" dataDxfId="1245"/>
    <tableColumn id="2" xr3:uid="{8B6186FE-A631-224D-ACBB-117CD6A86FCE}" name="No difficulty" dataDxfId="1244"/>
    <tableColumn id="3" xr3:uid="{F111115B-8A54-9A42-A894-40E53C30A8C9}" name="Any difficulty" dataDxfId="1243"/>
    <tableColumn id="4" xr3:uid="{7003E07C-8175-F24E-86FE-0FB61B282E3A}" name="Difference" dataDxfId="1242"/>
    <tableColumn id="5" xr3:uid="{B248F6E7-E47B-0640-BA76-3F42DAE91B00}" name="Statistical Significance of the Difference" dataDxfId="1241"/>
  </tableColumns>
  <tableStyleInfo name="TableStyleMedium2" showFirstColumn="1"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3178F986-4812-0C46-979D-F33A0060AA4B}" name="Table_H1.5.b_Share_of_urban_residents_in_households_using_safely_managed_drinking_water_Percentage_disaggregation_b" displayName="Table_H1.5.b_Share_of_urban_residents_in_households_using_safely_managed_drinking_water_Percentage_disaggregation_b" ref="G34:N39" totalsRowShown="0" headerRowDxfId="1240" dataDxfId="1239">
  <autoFilter ref="G34:N39" xr:uid="{3178F986-4812-0C46-979D-F33A0060AA4B}"/>
  <tableColumns count="8">
    <tableColumn id="1" xr3:uid="{17D8255C-6BA6-DC4B-B8A7-B530348F30F9}" name="Region" dataDxfId="1238"/>
    <tableColumn id="2" xr3:uid="{5F6D089F-6983-1046-B35A-CEA8F87754A9}" name="No difficulty" dataDxfId="1237"/>
    <tableColumn id="3" xr3:uid="{B10FC326-4275-CA45-8AEB-91FE005A240B}" name="Some difficulty" dataDxfId="1236"/>
    <tableColumn id="4" xr3:uid="{D1306A75-2BD7-8249-8C20-623B484A80E0}" name="Difference" dataDxfId="1235"/>
    <tableColumn id="5" xr3:uid="{DAD834B3-AF1E-9241-854F-19C9BFCDF222}" name="Statistical Significance of the Difference" dataDxfId="1234"/>
    <tableColumn id="6" xr3:uid="{8BF5E9ED-37C8-0C47-B776-9D6612BF761C}" name="At least a lot of difficulty" dataDxfId="1233"/>
    <tableColumn id="7" xr3:uid="{C9A504BB-EAFC-BE4A-BDD0-1D3FAE3ABE8D}" name="Difference No difficulty &amp; At least a lot of difficulty" dataDxfId="1232"/>
    <tableColumn id="8" xr3:uid="{5B8BDE60-19AE-0149-95DF-EC3CB0667C84}" name="Statistical Significance of the Difference (No difficulty vs At least a lot)" dataDxfId="1231"/>
  </tableColumns>
  <tableStyleInfo name="TableStyleMedium2" showFirstColumn="1"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E0E387AF-3353-B34C-8954-F3EBF38A9053}" name="Table_H1.5.c_Share_of_urban_residents_in_households_using_safely_managed_drinking_water_Percentage_disaggregation_c" displayName="Table_H1.5.c_Share_of_urban_residents_in_households_using_safely_managed_drinking_water_Percentage_disaggregation_c" ref="P34:T39" totalsRowShown="0" headerRowDxfId="1230" dataDxfId="1229">
  <autoFilter ref="P34:T39" xr:uid="{E0E387AF-3353-B34C-8954-F3EBF38A9053}"/>
  <tableColumns count="5">
    <tableColumn id="1" xr3:uid="{304547F5-E1FF-8C4D-A06E-8F7A07FA1032}" name="Region" dataDxfId="1228"/>
    <tableColumn id="2" xr3:uid="{2E812BA8-867E-7943-940D-E303F435CF31}" name="No or some difficulty" dataDxfId="1227"/>
    <tableColumn id="3" xr3:uid="{164114AA-41DA-D04C-A4A1-F3CDDE9B6AA7}" name="At least a lot of difficulty" dataDxfId="1226"/>
    <tableColumn id="4" xr3:uid="{C4BD4347-044B-AE45-889B-A062DE1BBCD0}" name="Difference" dataDxfId="1225"/>
    <tableColumn id="5" xr3:uid="{57E0B4B0-D2D8-794F-B051-4AB8034F186F}" name="Statistical Significance of the Difference" dataDxfId="1224"/>
  </tableColumns>
  <tableStyleInfo name="TableStyleMedium2" showFirstColumn="1"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A8D985D2-4005-0046-B5A7-E20954439C85}" name="Table_H1.6.a_Share_of_adults_age_15_to_44_in_households_using_safely_managed_drinking_water_Percentage_disaggregation_a" displayName="Table_H1.6.a_Share_of_adults_age_15_to_44_in_households_using_safely_managed_drinking_water_Percentage_disaggregation_a" ref="A42:E47" totalsRowShown="0" headerRowDxfId="1223" dataDxfId="1222">
  <autoFilter ref="A42:E47" xr:uid="{A8D985D2-4005-0046-B5A7-E20954439C85}"/>
  <tableColumns count="5">
    <tableColumn id="1" xr3:uid="{EE0D6064-D399-4144-B4AF-F79B1B83C56A}" name="Region" dataDxfId="1221"/>
    <tableColumn id="2" xr3:uid="{D42D4F8C-7773-B547-9B35-2089E4D6F741}" name="No difficulty" dataDxfId="1220"/>
    <tableColumn id="3" xr3:uid="{6BE1A056-9F08-F241-BBA2-364EAA569FB9}" name="Any difficulty" dataDxfId="1219"/>
    <tableColumn id="4" xr3:uid="{02E2EDEE-ED78-4E42-983C-012957204A00}" name="Difference" dataDxfId="1218"/>
    <tableColumn id="5" xr3:uid="{15CADAA8-C136-3D49-969F-57F246B505F3}" name="Statistical Significance of the Difference" dataDxfId="1217"/>
  </tableColumns>
  <tableStyleInfo name="TableStyleMedium2" showFirstColumn="1"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E0F01920-C8A7-8D49-B56B-2E4DE8242560}" name="Table_H1.6.b_Share_of_adults_age_15_to_44_in_households_using_safely_managed_drinking_water_Percentage_disaggregation_b" displayName="Table_H1.6.b_Share_of_adults_age_15_to_44_in_households_using_safely_managed_drinking_water_Percentage_disaggregation_b" ref="G42:N47" totalsRowShown="0" headerRowDxfId="1216" dataDxfId="1215">
  <autoFilter ref="G42:N47" xr:uid="{E0F01920-C8A7-8D49-B56B-2E4DE8242560}"/>
  <tableColumns count="8">
    <tableColumn id="1" xr3:uid="{DE7CB402-17B1-714F-B660-5015866EB8FF}" name="Region" dataDxfId="1214"/>
    <tableColumn id="2" xr3:uid="{BC79ED61-653F-7B42-85B7-AEDFC897C00E}" name="No difficulty" dataDxfId="1213"/>
    <tableColumn id="3" xr3:uid="{A50C1249-3081-304A-BF23-0BE322A5F637}" name="Some difficulty" dataDxfId="1212"/>
    <tableColumn id="4" xr3:uid="{65FA1CC3-9B78-5F4B-9536-71C67ED253A2}" name="Difference" dataDxfId="1211"/>
    <tableColumn id="5" xr3:uid="{8A65ED71-C3E0-7843-9A3C-8778F4C381BC}" name="Statistical Significance of the Difference" dataDxfId="1210"/>
    <tableColumn id="6" xr3:uid="{6C377790-AB46-D940-AEF2-974A57FD6669}" name="At least a lot of difficulty" dataDxfId="1209"/>
    <tableColumn id="7" xr3:uid="{DC8EBCE4-30B7-7040-B3B2-8C921C2D0FDF}" name="Difference No difficulty &amp; At least a lot of difficulty" dataDxfId="1208"/>
    <tableColumn id="8" xr3:uid="{E8FDA160-9005-F145-B005-05690D0F4A5C}" name="Statistical Significance of the Difference (No difficulty vs At least a lot)" dataDxfId="1207"/>
  </tableColumns>
  <tableStyleInfo name="TableStyleMedium2" showFirstColumn="1"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78E9E5F-5234-9347-90C5-8DE9730CC0BD}" name="Table_H1.6.c_Share_of_adults_age_15_to_44_in_households_using_safely_managed_drinking_water_Percentage_disaggregation_c" displayName="Table_H1.6.c_Share_of_adults_age_15_to_44_in_households_using_safely_managed_drinking_water_Percentage_disaggregation_c" ref="P42:T47" totalsRowShown="0" headerRowDxfId="1206" dataDxfId="1205">
  <autoFilter ref="P42:T47" xr:uid="{078E9E5F-5234-9347-90C5-8DE9730CC0BD}"/>
  <tableColumns count="5">
    <tableColumn id="1" xr3:uid="{ED836D3B-C83B-214D-9978-5A06A5A9D482}" name="Region" dataDxfId="1204"/>
    <tableColumn id="2" xr3:uid="{B9458B5A-D435-C346-88BB-4B936D75BEC9}" name="No or some difficulty" dataDxfId="1203"/>
    <tableColumn id="3" xr3:uid="{891DEF66-F25E-1846-A028-7F283DB01A33}" name="At least a lot of difficulty" dataDxfId="1202"/>
    <tableColumn id="4" xr3:uid="{4E504B60-C6FF-0D47-9AAE-727108A4D079}" name="Difference" dataDxfId="1201"/>
    <tableColumn id="5" xr3:uid="{7A07BFF1-BF9E-DC4C-9B91-F677C8ECEC13}" name="Statistical Significance of the Difference" dataDxfId="1200"/>
  </tableColumns>
  <tableStyleInfo name="TableStyleMedium2" showFirstColumn="1"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95BDCB5F-6FEA-BB4D-A202-0C58824D59F1}" name="Table_H1.7.a_Share_of_adults_age_45_and_older_in_households_using_safely_managed_drinking_water_Percentage_disaggregation_a" displayName="Table_H1.7.a_Share_of_adults_age_45_and_older_in_households_using_safely_managed_drinking_water_Percentage_disaggregation_a" ref="A50:E55" totalsRowShown="0" headerRowDxfId="1199" dataDxfId="1198">
  <autoFilter ref="A50:E55" xr:uid="{95BDCB5F-6FEA-BB4D-A202-0C58824D59F1}"/>
  <tableColumns count="5">
    <tableColumn id="1" xr3:uid="{29F5464C-1D9A-314F-ACB6-218D5069EFA9}" name="Region" dataDxfId="1197"/>
    <tableColumn id="2" xr3:uid="{C2D93A88-CB4A-454B-8210-F223B95662EB}" name="No difficulty" dataDxfId="1196"/>
    <tableColumn id="3" xr3:uid="{1FCEF2E8-9EB5-9C4A-B146-B4E6BC82A0BA}" name="Any difficulty" dataDxfId="1195"/>
    <tableColumn id="4" xr3:uid="{5C26F60D-F2B4-D748-8899-BA5E8C020FB6}" name="Difference" dataDxfId="1194"/>
    <tableColumn id="5" xr3:uid="{FF3B3F73-C0AC-6945-A27D-5D29CFB47E0D}" name="Statistical Significance of the Difference" dataDxfId="1193"/>
  </tableColumns>
  <tableStyleInfo name="TableStyleMedium2"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E3F7605-C1C0-C941-9054-A18D64C28FA5}" name="Table_P3.2_Share_of_rural_households_with_functional_difficulties_Percentage" displayName="Table_P3.2_Share_of_rural_households_with_functional_difficulties_Percentage" ref="A10:D15" totalsRowShown="0" headerRowDxfId="2147" dataDxfId="2146">
  <autoFilter ref="A10:D15" xr:uid="{5E3F7605-C1C0-C941-9054-A18D64C28FA5}"/>
  <tableColumns count="4">
    <tableColumn id="1" xr3:uid="{5FA6F18F-29F1-D043-BD56-363E2DB48BD8}" name="Region" dataDxfId="2145"/>
    <tableColumn id="2" xr3:uid="{C51C751C-1FD1-6A42-816A-265A604232C9}" name="Any difficulty" dataDxfId="2144"/>
    <tableColumn id="3" xr3:uid="{E84CD521-7654-5E4C-AB86-91A4AC772C58}" name="Some difficulty" dataDxfId="2143"/>
    <tableColumn id="4" xr3:uid="{6B207976-FC7C-6749-BF34-F5C5A66F067A}" name="At least a lot of difficulty" dataDxfId="2142"/>
  </tableColumns>
  <tableStyleInfo name="TableStyleMedium2" showFirstColumn="1"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313E2718-3997-EA48-90DE-29D2FC4342C0}" name="Table_H1.7.b_Share_of_adults_age_45_and_older_in_households_using_safely_managed_drinking_water_Percentage_disaggregation_b" displayName="Table_H1.7.b_Share_of_adults_age_45_and_older_in_households_using_safely_managed_drinking_water_Percentage_disaggregation_b" ref="G50:N55" totalsRowShown="0" headerRowDxfId="1192" dataDxfId="1191">
  <autoFilter ref="G50:N55" xr:uid="{313E2718-3997-EA48-90DE-29D2FC4342C0}"/>
  <tableColumns count="8">
    <tableColumn id="1" xr3:uid="{482B83C9-CF2E-6F47-80A1-D8623A7FC8F1}" name="Region" dataDxfId="1190"/>
    <tableColumn id="2" xr3:uid="{7B4571C8-CB9A-054F-A504-C8903BA60BE3}" name="No difficulty" dataDxfId="1189"/>
    <tableColumn id="3" xr3:uid="{2D92AFA8-8B8E-EF42-9D4F-C69DD9FFC0A1}" name="Some difficulty" dataDxfId="1188"/>
    <tableColumn id="4" xr3:uid="{C27CFE0A-53AE-954F-910B-8B23DCB05334}" name="Difference" dataDxfId="1187"/>
    <tableColumn id="5" xr3:uid="{B41368C0-0462-4240-99F0-EC11E4C682B6}" name="Statistical Significance of the Difference" dataDxfId="1186"/>
    <tableColumn id="6" xr3:uid="{9A2E0ABD-9EC0-C94C-8566-398C70564C6A}" name="At least a lot of difficulty" dataDxfId="1185"/>
    <tableColumn id="7" xr3:uid="{2BB50FFE-9133-7448-8A23-6A6A7B306FA4}" name="Difference No difficulty &amp; At least a lot of difficulty" dataDxfId="1184"/>
    <tableColumn id="8" xr3:uid="{B078783D-0D71-E048-BCEC-766938253EAC}" name="Statistical Significance of the Difference (No difficulty vs At least a lot)" dataDxfId="1183"/>
  </tableColumns>
  <tableStyleInfo name="TableStyleMedium2" showFirstColumn="1"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A86B8FC2-4BF1-364F-AD3C-E90D906AE4F9}" name="Table_H1.7.c_Share_of_adults_age_45_and_older_in_households_using_safely_managed_drinking_water_Percentage_disaggregation_c" displayName="Table_H1.7.c_Share_of_adults_age_45_and_older_in_households_using_safely_managed_drinking_water_Percentage_disaggregation_c" ref="P50:T55" totalsRowShown="0" headerRowDxfId="1182" dataDxfId="1181">
  <autoFilter ref="P50:T55" xr:uid="{A86B8FC2-4BF1-364F-AD3C-E90D906AE4F9}"/>
  <tableColumns count="5">
    <tableColumn id="1" xr3:uid="{424562EF-B8A2-7040-AFE6-26804C28A68D}" name="Region" dataDxfId="1180"/>
    <tableColumn id="2" xr3:uid="{B96E7439-0B1A-8144-B782-B47A81C0A77E}" name="No or some difficulty" dataDxfId="1179"/>
    <tableColumn id="3" xr3:uid="{FD2FDF01-031E-4940-B951-183CF8FF0A81}" name="At least a lot of difficulty" dataDxfId="1178"/>
    <tableColumn id="4" xr3:uid="{24E3D9F3-1D34-9447-A6EF-9D35AD9D9C28}" name="Difference" dataDxfId="1177"/>
    <tableColumn id="5" xr3:uid="{55B0904F-6EB1-5540-B3AC-D72841453870}" name="Statistical Significance of the Difference" dataDxfId="1176"/>
  </tableColumns>
  <tableStyleInfo name="TableStyleMedium2" showFirstColumn="1"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4D9F35E6-07C4-274B-8935-E3ADF3F07C9A}" name="Table_H2.1.a_Share_of_all_adults_in_households_using_safely_managed_sanitation_services_Percentage_disaggregation_a" displayName="Table_H2.1.a_Share_of_all_adults_in_households_using_safely_managed_sanitation_services_Percentage_disaggregation_a" ref="A2:E7" totalsRowShown="0" headerRowDxfId="1175" dataDxfId="1174">
  <autoFilter ref="A2:E7" xr:uid="{4D9F35E6-07C4-274B-8935-E3ADF3F07C9A}"/>
  <tableColumns count="5">
    <tableColumn id="1" xr3:uid="{E667F2D1-D3F9-434E-8046-D1E0F8B926F4}" name="Region" dataDxfId="1173"/>
    <tableColumn id="2" xr3:uid="{9894B9EB-7D29-024E-BAB3-4F07A16CF444}" name="No difficulty" dataDxfId="1172"/>
    <tableColumn id="3" xr3:uid="{986A78F0-2A6D-824A-80A7-C869EE88283C}" name="Any difficulty" dataDxfId="1171"/>
    <tableColumn id="4" xr3:uid="{3F901608-82C6-EE44-A50F-F154106C84E9}" name="Difference" dataDxfId="1170"/>
    <tableColumn id="5" xr3:uid="{A39A6773-6526-A547-A2EE-6FEB88B0DB4C}" name="Statistical Significance of the Difference" dataDxfId="1169"/>
  </tableColumns>
  <tableStyleInfo name="TableStyleMedium2" showFirstColumn="1"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7B3370FB-6629-944A-956F-A55EFF4564A4}" name="Table_H2.1.b_Share_of_all_adults_in_households_using_safely_managed_sanitation_services_Percentage_disaggregation_b" displayName="Table_H2.1.b_Share_of_all_adults_in_households_using_safely_managed_sanitation_services_Percentage_disaggregation_b" ref="G2:N7" totalsRowShown="0" headerRowDxfId="1168" dataDxfId="1167">
  <autoFilter ref="G2:N7" xr:uid="{7B3370FB-6629-944A-956F-A55EFF4564A4}"/>
  <tableColumns count="8">
    <tableColumn id="1" xr3:uid="{F36E79C2-DDEE-544E-8F89-B5E5658795C7}" name="Region" dataDxfId="1166"/>
    <tableColumn id="2" xr3:uid="{718DD2FA-4954-1C4A-95C0-51A760BE67FD}" name="No difficulty" dataDxfId="1165"/>
    <tableColumn id="3" xr3:uid="{33F8A011-2AB7-0942-9E37-882A480C3C4C}" name="Some difficulty" dataDxfId="1164"/>
    <tableColumn id="4" xr3:uid="{78763A13-F790-FC4A-98B0-BFDFA298B5C7}" name="Difference" dataDxfId="1163"/>
    <tableColumn id="5" xr3:uid="{32131F7E-D5AB-BF4A-B408-DC919FA717D0}" name="Statistical Significance of the Difference" dataDxfId="1162"/>
    <tableColumn id="6" xr3:uid="{84BEAB65-2D0C-5042-9727-0553BAC2C278}" name="At least a lot of difficulty" dataDxfId="1161"/>
    <tableColumn id="7" xr3:uid="{D0286B64-C419-5F4F-A890-867CA4B35220}" name="Difference No difficulty &amp; At least a lot of difficulty" dataDxfId="1160"/>
    <tableColumn id="8" xr3:uid="{E3014998-EA70-334A-86BD-9B17626A3EB9}" name="Statistical Significance of the Difference (No difficulty vs At least a lot)" dataDxfId="1159"/>
  </tableColumns>
  <tableStyleInfo name="TableStyleMedium2" showFirstColumn="1"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96AA97CD-0E55-0341-A1D9-1A72191F80F7}" name="Table_H2.1.c_Share_of_all_adults_in_households_using_safely_managed_sanitation_services_Percentage_disaggregation_c" displayName="Table_H2.1.c_Share_of_all_adults_in_households_using_safely_managed_sanitation_services_Percentage_disaggregation_c" ref="P2:T7" totalsRowShown="0" headerRowDxfId="1158" dataDxfId="1157">
  <autoFilter ref="P2:T7" xr:uid="{96AA97CD-0E55-0341-A1D9-1A72191F80F7}"/>
  <tableColumns count="5">
    <tableColumn id="1" xr3:uid="{6B6C13C1-F397-3C45-9FA1-4BD774F61D48}" name="Region" dataDxfId="1156"/>
    <tableColumn id="2" xr3:uid="{CB2A6096-0135-6940-878D-7F0F1226620F}" name="No or some difficulty" dataDxfId="1155"/>
    <tableColumn id="3" xr3:uid="{76FD444F-5A0E-E842-B9F1-14897149E478}" name="At least a lot of difficulty" dataDxfId="1154"/>
    <tableColumn id="4" xr3:uid="{5C1080D0-694C-1F48-BF0E-E2C755C3776B}" name="Difference" dataDxfId="1153"/>
    <tableColumn id="5" xr3:uid="{56B5D13C-DB9E-4D47-BA16-61C12D6C482D}" name="Statistical Significance of the Difference" dataDxfId="1152"/>
  </tableColumns>
  <tableStyleInfo name="TableStyleMedium2" showFirstColumn="1"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FDDB5DF5-6592-874B-B427-72D761597943}" name="Table_H2.2.a_Share_of_females_in_households_using_safely_managed_sanitation_services_Percentage_disaggregation_a" displayName="Table_H2.2.a_Share_of_females_in_households_using_safely_managed_sanitation_services_Percentage_disaggregation_a" ref="A10:E15" totalsRowShown="0" headerRowDxfId="1151" dataDxfId="1150">
  <autoFilter ref="A10:E15" xr:uid="{FDDB5DF5-6592-874B-B427-72D761597943}"/>
  <tableColumns count="5">
    <tableColumn id="1" xr3:uid="{5D4385B4-35A1-D149-8102-5790E71262DF}" name="Region" dataDxfId="1149"/>
    <tableColumn id="2" xr3:uid="{5112B5E4-03CC-8D49-9A34-BCC819533AAF}" name="No difficulty" dataDxfId="1148"/>
    <tableColumn id="3" xr3:uid="{2F7D292E-9209-B247-B9C1-F1E7ECF7819F}" name="Any difficulty" dataDxfId="1147"/>
    <tableColumn id="4" xr3:uid="{1EA72360-8532-0848-90A7-22144D984AC4}" name="Difference" dataDxfId="1146"/>
    <tableColumn id="5" xr3:uid="{6107D6E3-6FB8-6B48-B541-68E95AE165FD}" name="Statistical Significance of the Difference" dataDxfId="1145"/>
  </tableColumns>
  <tableStyleInfo name="TableStyleMedium2" showFirstColumn="1"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B8A39FE1-808B-534A-B30C-E1866FC5D27E}" name="Table_H2.2.b_Share_of_females_in_households_using_safely_managed_sanitation_services_Percentage_disaggregation_b" displayName="Table_H2.2.b_Share_of_females_in_households_using_safely_managed_sanitation_services_Percentage_disaggregation_b" ref="G10:N15" totalsRowShown="0" headerRowDxfId="1144" dataDxfId="1143">
  <autoFilter ref="G10:N15" xr:uid="{B8A39FE1-808B-534A-B30C-E1866FC5D27E}"/>
  <tableColumns count="8">
    <tableColumn id="1" xr3:uid="{FA3E2038-8DDD-5B4D-91B5-B2654148912B}" name="Region" dataDxfId="1142"/>
    <tableColumn id="2" xr3:uid="{7A749956-4B9E-194F-91B9-7C6795D1FBDF}" name="No difficulty" dataDxfId="1141"/>
    <tableColumn id="3" xr3:uid="{EAA3D940-48F6-274E-A001-756BA69863EF}" name="Some difficulty" dataDxfId="1140"/>
    <tableColumn id="4" xr3:uid="{92075CA1-727C-7548-8E5C-50D2D203D753}" name="Difference" dataDxfId="1139"/>
    <tableColumn id="5" xr3:uid="{DC70BD3D-0F13-844D-B9FF-5D9E09490AC9}" name="Statistical Significance of the Difference" dataDxfId="1138"/>
    <tableColumn id="6" xr3:uid="{8CC368C8-4B12-1F4B-A66F-6B2A05E4D88B}" name="At least a lot of difficulty" dataDxfId="1137"/>
    <tableColumn id="7" xr3:uid="{73C3216F-8117-4745-8718-8C9D95E6A4A2}" name="Difference No difficulty &amp; At least a lot of difficulty" dataDxfId="1136"/>
    <tableColumn id="8" xr3:uid="{1003D9E2-78A1-874E-AF1D-392D03DC7244}" name="Statistical Significance of the Difference (No difficulty vs At least a lot)" dataDxfId="1135"/>
  </tableColumns>
  <tableStyleInfo name="TableStyleMedium2" showFirstColumn="1"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3F47CD18-DD7F-8F4F-81F9-1E1B3D477462}" name="Table_H2.2.c_Share_of_females_in_households_using_safely_managed_sanitation_services_Percentage_disaggregation_c" displayName="Table_H2.2.c_Share_of_females_in_households_using_safely_managed_sanitation_services_Percentage_disaggregation_c" ref="P10:T15" totalsRowShown="0" headerRowDxfId="1134" dataDxfId="1133">
  <autoFilter ref="P10:T15" xr:uid="{3F47CD18-DD7F-8F4F-81F9-1E1B3D477462}"/>
  <tableColumns count="5">
    <tableColumn id="1" xr3:uid="{00394968-488D-4A4D-B4E7-E98015151103}" name="Region" dataDxfId="1132"/>
    <tableColumn id="2" xr3:uid="{CCBE4F58-84E8-254F-8CDC-919807018447}" name="No or some difficulty" dataDxfId="1131"/>
    <tableColumn id="3" xr3:uid="{507000A2-7D6C-C64E-8B9D-69B3074BB58C}" name="At least a lot of difficulty" dataDxfId="1130"/>
    <tableColumn id="4" xr3:uid="{A9F4E3DC-4C67-334B-9711-952EA47CA915}" name="Difference" dataDxfId="1129"/>
    <tableColumn id="5" xr3:uid="{AEBD1A28-7051-4843-8E7C-70190619A168}" name="Statistical Significance of the Difference" dataDxfId="1128"/>
  </tableColumns>
  <tableStyleInfo name="TableStyleMedium2" showFirstColumn="1"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689321EF-56AE-CC46-BD1E-0C5A2EF57CAF}" name="Table_H2.3.a_Share_of_males_in_households_using_safely_managed_sanitation_services_Percentage_disaggregation_a" displayName="Table_H2.3.a_Share_of_males_in_households_using_safely_managed_sanitation_services_Percentage_disaggregation_a" ref="A18:E23" totalsRowShown="0" headerRowDxfId="1127" dataDxfId="1126">
  <autoFilter ref="A18:E23" xr:uid="{689321EF-56AE-CC46-BD1E-0C5A2EF57CAF}"/>
  <tableColumns count="5">
    <tableColumn id="1" xr3:uid="{CB9581D1-FE08-8B4C-8933-754005FFCB21}" name="Region" dataDxfId="1125"/>
    <tableColumn id="2" xr3:uid="{F6199314-58F0-874B-9625-C4CBD7989F38}" name="No difficulty" dataDxfId="1124"/>
    <tableColumn id="3" xr3:uid="{19EAD2EF-28F4-2B48-AB78-10AAD0B9D06C}" name="Any difficulty" dataDxfId="1123"/>
    <tableColumn id="4" xr3:uid="{18D39435-31E7-414E-839B-8DE9E591E083}" name="Difference" dataDxfId="1122"/>
    <tableColumn id="5" xr3:uid="{C8D7556C-C7F0-0A4A-89F2-02E5E1F38F47}" name="Statistical Significance of the Difference" dataDxfId="1121"/>
  </tableColumns>
  <tableStyleInfo name="TableStyleMedium2" showFirstColumn="1"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B5303FFD-416F-9F49-B2CD-4B865FAA631E}" name="Table_H2.3.b_Share_of_males_in_households_using_safely_managed_sanitation_services_Percentage_disaggregation_b" displayName="Table_H2.3.b_Share_of_males_in_households_using_safely_managed_sanitation_services_Percentage_disaggregation_b" ref="G18:N23" totalsRowShown="0" headerRowDxfId="1120" dataDxfId="1119">
  <autoFilter ref="G18:N23" xr:uid="{B5303FFD-416F-9F49-B2CD-4B865FAA631E}"/>
  <tableColumns count="8">
    <tableColumn id="1" xr3:uid="{4F129407-5751-DA4E-81B2-550AD370FAF6}" name="Region" dataDxfId="1118"/>
    <tableColumn id="2" xr3:uid="{F1D555BE-DF98-844B-B613-ECE027551B7C}" name="No difficulty" dataDxfId="1117"/>
    <tableColumn id="3" xr3:uid="{4647CFCB-0AA0-0241-A893-F705C214BB98}" name="Some difficulty" dataDxfId="1116"/>
    <tableColumn id="4" xr3:uid="{456754CB-8635-3E43-92DC-204B23955344}" name="Difference" dataDxfId="1115"/>
    <tableColumn id="5" xr3:uid="{3E0B1DFE-0068-AA40-8B4A-00888B7C2116}" name="Statistical Significance of the Difference" dataDxfId="1114"/>
    <tableColumn id="6" xr3:uid="{B93B74C9-79EA-1E47-ADF7-E1273FF910FD}" name="At least a lot of difficulty" dataDxfId="1113"/>
    <tableColumn id="7" xr3:uid="{0F847918-76D0-5241-ACAD-C5E8EEB1D6BE}" name="Difference No difficulty &amp; At least a lot of difficulty" dataDxfId="1112"/>
    <tableColumn id="8" xr3:uid="{BDB0FF1F-9ACB-F24C-9A05-DDF62DD24301}" name="Statistical Significance of the Difference (No difficulty vs At least a lot)" dataDxfId="1111"/>
  </tableColumns>
  <tableStyleInfo name="TableStyleMedium2" showFirstColumn="1"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3CB4691-8D0A-8C41-BD97-246AC1C8607D}" name="Table_P3.3_Share_of_urban_households_with_functional_difficulties_Percentage" displayName="Table_P3.3_Share_of_urban_households_with_functional_difficulties_Percentage" ref="A18:D23" totalsRowShown="0" headerRowDxfId="2141" dataDxfId="2140">
  <autoFilter ref="A18:D23" xr:uid="{83CB4691-8D0A-8C41-BD97-246AC1C8607D}"/>
  <tableColumns count="4">
    <tableColumn id="1" xr3:uid="{D2B2CD4A-DBFE-1A40-8476-EA4A0BC93ECE}" name="Region" dataDxfId="2139"/>
    <tableColumn id="2" xr3:uid="{8D07B919-8CC7-E442-947E-CB96AEE1B33B}" name="Any difficulty" dataDxfId="2138"/>
    <tableColumn id="3" xr3:uid="{BA31AF9C-B8DB-C34A-A2C0-7C0CB89EE8FE}" name="Some difficulty" dataDxfId="2137"/>
    <tableColumn id="4" xr3:uid="{88C16F4D-ADB0-BD4D-BF6E-2ED9AA481EC3}" name="At least a lot of difficulty" dataDxfId="2136"/>
  </tableColumns>
  <tableStyleInfo name="TableStyleMedium2" showFirstColumn="1"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6EE3C667-6510-5740-A06F-2E76E5A8742F}" name="Table_H2.3.c_Share_of_males_in_households_using_safely_managed_sanitation_services_Percentage_disaggregation_c" displayName="Table_H2.3.c_Share_of_males_in_households_using_safely_managed_sanitation_services_Percentage_disaggregation_c" ref="P18:T23" totalsRowShown="0" headerRowDxfId="1110" dataDxfId="1109">
  <autoFilter ref="P18:T23" xr:uid="{6EE3C667-6510-5740-A06F-2E76E5A8742F}"/>
  <tableColumns count="5">
    <tableColumn id="1" xr3:uid="{E3562CB9-8B53-0A4A-8DE4-4F1942C1F8BB}" name="Region" dataDxfId="1108"/>
    <tableColumn id="2" xr3:uid="{3AC93DD2-53F6-354F-BFB0-2A3283909C56}" name="No or some difficulty" dataDxfId="1107"/>
    <tableColumn id="3" xr3:uid="{AEFD7A1E-FE5E-EE42-9B74-843B150B4AB8}" name="At least a lot of difficulty" dataDxfId="1106"/>
    <tableColumn id="4" xr3:uid="{59D40096-F22B-6B47-8D5E-6197D5108639}" name="Difference" dataDxfId="1105"/>
    <tableColumn id="5" xr3:uid="{2DC564B5-391A-9A44-8795-44542358F09F}" name="Statistical Significance of the Difference" dataDxfId="1104"/>
  </tableColumns>
  <tableStyleInfo name="TableStyleMedium2" showFirstColumn="1"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CB8E4910-5B59-7242-BFAB-06CFF779204C}" name="Table_H2.4.a_Share_of_rural_residents_in_households_using_safely_managed_sanitation_services_Percentage_disaggregation_a" displayName="Table_H2.4.a_Share_of_rural_residents_in_households_using_safely_managed_sanitation_services_Percentage_disaggregation_a" ref="A26:E31" totalsRowShown="0" headerRowDxfId="1103" dataDxfId="1102">
  <autoFilter ref="A26:E31" xr:uid="{CB8E4910-5B59-7242-BFAB-06CFF779204C}"/>
  <tableColumns count="5">
    <tableColumn id="1" xr3:uid="{91C46990-3328-964D-ABDB-BE38A0937A3F}" name="Region" dataDxfId="1101"/>
    <tableColumn id="2" xr3:uid="{58C3EBAB-0630-AF46-A99B-8C9ECEC1FAC2}" name="No difficulty" dataDxfId="1100"/>
    <tableColumn id="3" xr3:uid="{3D51F296-8C8E-CE4B-9A0F-07B653C5D543}" name="Any difficulty" dataDxfId="1099"/>
    <tableColumn id="4" xr3:uid="{EF66F329-F3EE-6C41-B8FA-ED4A23E674F0}" name="Difference" dataDxfId="1098"/>
    <tableColumn id="5" xr3:uid="{E8BFDDDD-2A47-2C4C-997B-0CFF68443F83}" name="Statistical Significance of the Difference" dataDxfId="1097"/>
  </tableColumns>
  <tableStyleInfo name="TableStyleMedium2" showFirstColumn="1"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4D84B5C0-067B-B54C-80B0-0D8C3FBEBE9B}" name="Table_H2.4.b_Share_of_rural_residents_in_households_using_safely_managed_sanitation_services_Percentage_disaggregation_b" displayName="Table_H2.4.b_Share_of_rural_residents_in_households_using_safely_managed_sanitation_services_Percentage_disaggregation_b" ref="G26:N31" totalsRowShown="0" headerRowDxfId="1096" dataDxfId="1095">
  <autoFilter ref="G26:N31" xr:uid="{4D84B5C0-067B-B54C-80B0-0D8C3FBEBE9B}"/>
  <tableColumns count="8">
    <tableColumn id="1" xr3:uid="{0A69C1D7-590C-E74D-BB88-9BB0F32F8DB5}" name="Region" dataDxfId="1094"/>
    <tableColumn id="2" xr3:uid="{953C6FC1-33BA-6547-B577-36F929DB9BCC}" name="No difficulty" dataDxfId="1093"/>
    <tableColumn id="3" xr3:uid="{395E52AC-8E89-0D46-8F2C-469244A7A729}" name="Some difficulty" dataDxfId="1092"/>
    <tableColumn id="4" xr3:uid="{CAB9E85F-A29B-F348-9065-C79357C22464}" name="Difference" dataDxfId="1091"/>
    <tableColumn id="5" xr3:uid="{D8815CB2-13D1-754B-8D14-56414DDA698F}" name="Statistical Significance of the Difference" dataDxfId="1090"/>
    <tableColumn id="6" xr3:uid="{7B8D2CAE-0DF2-3446-A199-4E468F363A90}" name="At least a lot of difficulty" dataDxfId="1089"/>
    <tableColumn id="7" xr3:uid="{C0309B4C-32A1-0C4F-9BA6-1B361457BAD5}" name="Difference No difficulty &amp; At least a lot of difficulty" dataDxfId="1088"/>
    <tableColumn id="8" xr3:uid="{326CBCBE-10E6-B64E-8F9C-0925D8FE02F2}" name="Statistical Significance of the Difference (No difficulty vs At least a lot)" dataDxfId="1087"/>
  </tableColumns>
  <tableStyleInfo name="TableStyleMedium2" showFirstColumn="1"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91104D38-5665-1A4F-A99F-AFA11CDD3248}" name="Table_H2.4.c_Share_of_rural_residents_in_households_using_safely_managed_sanitation_services_Percentage_disaggregation_c" displayName="Table_H2.4.c_Share_of_rural_residents_in_households_using_safely_managed_sanitation_services_Percentage_disaggregation_c" ref="P26:T31" totalsRowShown="0" headerRowDxfId="1086" dataDxfId="1085">
  <autoFilter ref="P26:T31" xr:uid="{91104D38-5665-1A4F-A99F-AFA11CDD3248}"/>
  <tableColumns count="5">
    <tableColumn id="1" xr3:uid="{2DD44996-3C2E-8A48-9EFE-0587F1621C55}" name="Region" dataDxfId="1084"/>
    <tableColumn id="2" xr3:uid="{4EE32CF0-3C38-D549-A7D1-7F39DEB9B72A}" name="No or some difficulty" dataDxfId="1083"/>
    <tableColumn id="3" xr3:uid="{D5A08160-5B9F-B04B-89FC-9DA4C389D042}" name="At least a lot of difficulty" dataDxfId="1082"/>
    <tableColumn id="4" xr3:uid="{785FE171-C48A-C846-A407-F4F54A716578}" name="Difference" dataDxfId="1081"/>
    <tableColumn id="5" xr3:uid="{D99CF67C-1553-F04A-BA80-4E750D5AB641}" name="Statistical Significance of the Difference" dataDxfId="1080"/>
  </tableColumns>
  <tableStyleInfo name="TableStyleMedium2" showFirstColumn="1"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DE43C5FD-F92C-1348-92F1-BC59C867CD2E}" name="Table_H2.5.a_Share_of_urban_residents_in_households_using_safely_managed_sanitation_services_Percentage_disaggregation_a" displayName="Table_H2.5.a_Share_of_urban_residents_in_households_using_safely_managed_sanitation_services_Percentage_disaggregation_a" ref="A34:E39" totalsRowShown="0" headerRowDxfId="1079" dataDxfId="1078">
  <autoFilter ref="A34:E39" xr:uid="{DE43C5FD-F92C-1348-92F1-BC59C867CD2E}"/>
  <tableColumns count="5">
    <tableColumn id="1" xr3:uid="{246DA44F-B6C4-C446-B49F-FD0EB8BFA3CB}" name="Region" dataDxfId="1077"/>
    <tableColumn id="2" xr3:uid="{E020E1D9-8D2F-AA42-9369-3E993FE131E3}" name="No difficulty" dataDxfId="1076"/>
    <tableColumn id="3" xr3:uid="{3D953F25-34BB-3746-BDC5-65D9CAEEFD26}" name="Any difficulty" dataDxfId="1075"/>
    <tableColumn id="4" xr3:uid="{A06A2DDE-217D-A046-B61A-3C70D550B8AE}" name="Difference" dataDxfId="1074"/>
    <tableColumn id="5" xr3:uid="{8CEDFFD2-7E29-BF4E-9B53-839610F8DF8D}" name="Statistical Significance of the Difference" dataDxfId="1073"/>
  </tableColumns>
  <tableStyleInfo name="TableStyleMedium2" showFirstColumn="1"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1D676171-8CA4-8043-AD00-1F8767BC6D0F}" name="Table_H2.5.b_Share_of_urban_residents_in_households_using_safely_managed_sanitation_services_Percentage_disaggregation_b" displayName="Table_H2.5.b_Share_of_urban_residents_in_households_using_safely_managed_sanitation_services_Percentage_disaggregation_b" ref="G34:N39" totalsRowShown="0" headerRowDxfId="1072" dataDxfId="1071">
  <autoFilter ref="G34:N39" xr:uid="{1D676171-8CA4-8043-AD00-1F8767BC6D0F}"/>
  <tableColumns count="8">
    <tableColumn id="1" xr3:uid="{2D96AFAD-10AD-284F-B819-641D1010567E}" name="Region" dataDxfId="1070"/>
    <tableColumn id="2" xr3:uid="{7C8D3A6C-8061-C243-AD53-5FFBE492F996}" name="No difficulty" dataDxfId="1069"/>
    <tableColumn id="3" xr3:uid="{6F54F600-81F7-E141-98B1-34FE860E0C13}" name="Some difficulty" dataDxfId="1068"/>
    <tableColumn id="4" xr3:uid="{5B9D3005-AC6B-604B-A061-4D8E76DE3435}" name="Difference" dataDxfId="1067"/>
    <tableColumn id="5" xr3:uid="{EE8FC86E-3019-764C-9E9D-6F99FCBF056E}" name="Statistical Significance of the Difference" dataDxfId="1066"/>
    <tableColumn id="6" xr3:uid="{66CBEFCA-C7A9-AE45-B517-3C2AB1EC8349}" name="At least a lot of difficulty" dataDxfId="1065"/>
    <tableColumn id="7" xr3:uid="{FD726D5B-FA9B-A84F-94A7-FCC12979B57B}" name="Difference No difficulty &amp; At least a lot of difficulty" dataDxfId="1064"/>
    <tableColumn id="8" xr3:uid="{A7DE8C69-E136-8A49-86BB-92E897CC9668}" name="Statistical Significance of the Difference (No difficulty vs At least a lot)" dataDxfId="1063"/>
  </tableColumns>
  <tableStyleInfo name="TableStyleMedium2" showFirstColumn="1"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11441FD8-CA74-D44C-B7DF-C73598A3C682}" name="Table_H2.5.c_Share_of_urban_residents_in_households_using_safely_managed_sanitation_services_Percentage_disaggregation_c" displayName="Table_H2.5.c_Share_of_urban_residents_in_households_using_safely_managed_sanitation_services_Percentage_disaggregation_c" ref="P34:T39" totalsRowShown="0" headerRowDxfId="1062" dataDxfId="1061">
  <autoFilter ref="P34:T39" xr:uid="{11441FD8-CA74-D44C-B7DF-C73598A3C682}"/>
  <tableColumns count="5">
    <tableColumn id="1" xr3:uid="{A85820BC-2904-CB4B-B590-A9E054E7EF32}" name="Region" dataDxfId="1060"/>
    <tableColumn id="2" xr3:uid="{C200130A-72F1-DD48-9EBA-845E2CF48737}" name="No or some difficulty" dataDxfId="1059"/>
    <tableColumn id="3" xr3:uid="{B835B21A-7C9F-7744-8C29-FC10CDA5BF44}" name="At least a lot of difficulty" dataDxfId="1058"/>
    <tableColumn id="4" xr3:uid="{F3814FA0-2EF2-4B46-9DB5-3E44B35F6E03}" name="Difference" dataDxfId="1057"/>
    <tableColumn id="5" xr3:uid="{0261D2D0-EF25-FE49-8D5D-49D3ABF22DA3}" name="Statistical Significance of the Difference" dataDxfId="1056"/>
  </tableColumns>
  <tableStyleInfo name="TableStyleMedium2" showFirstColumn="1"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F5B1D4DA-A7AC-BD4C-BAC4-7F20FD07BD95}" name="Table_H2.6.a_Share_of_adults_age_15_to_44_in_households_using_safely_managed_sanitation_services_Percentage_disaggregation_a" displayName="Table_H2.6.a_Share_of_adults_age_15_to_44_in_households_using_safely_managed_sanitation_services_Percentage_disaggregation_a" ref="A42:E47" totalsRowShown="0" headerRowDxfId="1055" dataDxfId="1054">
  <autoFilter ref="A42:E47" xr:uid="{F5B1D4DA-A7AC-BD4C-BAC4-7F20FD07BD95}"/>
  <tableColumns count="5">
    <tableColumn id="1" xr3:uid="{49445F0F-2F40-044B-8260-3037125A747C}" name="Region" dataDxfId="1053"/>
    <tableColumn id="2" xr3:uid="{6B78792F-2447-634F-9D9F-F6BB4F920421}" name="No difficulty" dataDxfId="1052"/>
    <tableColumn id="3" xr3:uid="{A8822D48-9BC7-2D49-AE69-9499A68B66E3}" name="Any difficulty" dataDxfId="1051"/>
    <tableColumn id="4" xr3:uid="{7A7F9A1C-770E-7545-993E-97DE97B030A1}" name="Difference" dataDxfId="1050"/>
    <tableColumn id="5" xr3:uid="{F83A59AD-FB33-9A40-8E4F-38159B1D5F67}" name="Statistical Significance of the Difference" dataDxfId="1049"/>
  </tableColumns>
  <tableStyleInfo name="TableStyleMedium2" showFirstColumn="1"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1F3F7E38-5DBE-B84C-901A-2F1B430C19E6}" name="Table_H2.6.b_Share_of_adults_age_15_to_44_in_households_using_safely_managed_sanitation_services_Percentage_disaggregation_b" displayName="Table_H2.6.b_Share_of_adults_age_15_to_44_in_households_using_safely_managed_sanitation_services_Percentage_disaggregation_b" ref="G42:N47" totalsRowShown="0" headerRowDxfId="1048" dataDxfId="1047">
  <autoFilter ref="G42:N47" xr:uid="{1F3F7E38-5DBE-B84C-901A-2F1B430C19E6}"/>
  <tableColumns count="8">
    <tableColumn id="1" xr3:uid="{3D347AB6-087E-0348-AF39-079515CFA50A}" name="Region" dataDxfId="1046"/>
    <tableColumn id="2" xr3:uid="{E86561F3-503B-DF4A-8A58-45548A665599}" name="No difficulty" dataDxfId="1045"/>
    <tableColumn id="3" xr3:uid="{C45736DD-FB65-5341-91E9-9CB180552BC2}" name="Some difficulty" dataDxfId="1044"/>
    <tableColumn id="4" xr3:uid="{3BDF31EE-6A8A-304E-A70A-EB093DD64737}" name="Difference" dataDxfId="1043"/>
    <tableColumn id="5" xr3:uid="{506B7D42-C532-6549-8902-ECD148F56828}" name="Statistical Significance of the Difference" dataDxfId="1042"/>
    <tableColumn id="6" xr3:uid="{E3F2F0A8-FCC8-2A49-8D66-A51B81D53AEF}" name="At least a lot of difficulty" dataDxfId="1041"/>
    <tableColumn id="7" xr3:uid="{CA5A2571-5D5E-DF46-A8F6-5FAC7870603D}" name="Difference No difficulty &amp; At least a lot of difficulty" dataDxfId="1040"/>
    <tableColumn id="8" xr3:uid="{82D5498F-1953-3B40-BB51-FC2E3604050F}" name="Statistical Significance of the Difference (No difficulty vs At least a lot)" dataDxfId="1039"/>
  </tableColumns>
  <tableStyleInfo name="TableStyleMedium2" showFirstColumn="1"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11C3A90-E4CC-6548-8B81-6CA79936C4A7}" name="Table_H2.6.c_Share_of_adults_age_15_to_44_in_households_using_safely_managed_sanitation_services_Percentage_disaggregation_c" displayName="Table_H2.6.c_Share_of_adults_age_15_to_44_in_households_using_safely_managed_sanitation_services_Percentage_disaggregation_c" ref="P42:T47" totalsRowShown="0" headerRowDxfId="1038" dataDxfId="1037">
  <autoFilter ref="P42:T47" xr:uid="{011C3A90-E4CC-6548-8B81-6CA79936C4A7}"/>
  <tableColumns count="5">
    <tableColumn id="1" xr3:uid="{17C25F5E-A4F8-8A41-B2CD-F6D7956D3E89}" name="Region" dataDxfId="1036"/>
    <tableColumn id="2" xr3:uid="{B8557D33-D767-444C-83DA-A41CC89C812E}" name="No or some difficulty" dataDxfId="1035"/>
    <tableColumn id="3" xr3:uid="{D788A4EB-7CA7-C842-B43C-EB2E15A85FB8}" name="At least a lot of difficulty" dataDxfId="1034"/>
    <tableColumn id="4" xr3:uid="{7CCDCD4A-B844-C648-B0A9-39EFCAFF5DCD}" name="Difference" dataDxfId="1033"/>
    <tableColumn id="5" xr3:uid="{5B1BEDDB-A2D8-9F47-BD3C-ECBB45BEE751}" name="Statistical Significance of the Difference" dataDxfId="1032"/>
  </tableColumns>
  <tableStyleInfo name="TableStyleMedium2"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ED1F9A-2FF3-324E-9297-B19AC3227B48}" name="Table_E1_Share_of_all_adults_who_have_ever_attended_school_Percentage_by_functional_difficulty_type" displayName="Table_E1_Share_of_all_adults_who_have_ever_attended_school_Percentage_by_functional_difficulty_type" ref="A2:H7" totalsRowShown="0" headerRowDxfId="2135" dataDxfId="2134">
  <autoFilter ref="A2:H7" xr:uid="{82ED1F9A-2FF3-324E-9297-B19AC3227B48}"/>
  <tableColumns count="8">
    <tableColumn id="1" xr3:uid="{76E6F25E-9930-5745-A961-24CB8C1C10E6}" name="Region" dataDxfId="2133"/>
    <tableColumn id="2" xr3:uid="{8CBDFDAD-6A6E-AA44-A137-90525B45FB43}" name="No Difficulty" dataDxfId="2132"/>
    <tableColumn id="3" xr3:uid="{54C727D7-A6AA-6044-8532-FC31EA700133}" name="Seeing" dataDxfId="2131"/>
    <tableColumn id="4" xr3:uid="{F09A0BA0-C504-EB41-8167-9BEAD1A7AE60}" name="Hearing" dataDxfId="2130"/>
    <tableColumn id="5" xr3:uid="{18B7E3B9-730B-1547-8762-E76CFC4AE533}" name="Mobility" dataDxfId="2129"/>
    <tableColumn id="6" xr3:uid="{1AA581FC-9161-2D42-87F9-78423F7C31F3}" name="Cognition" dataDxfId="2128"/>
    <tableColumn id="7" xr3:uid="{EE8CBBDD-94A9-F346-813E-A1A834640AA3}" name="Self-Care" dataDxfId="2127"/>
    <tableColumn id="8" xr3:uid="{28E92FD4-3E61-0A48-9FA4-D5DFC16738F8}" name="Communication" dataDxfId="2126"/>
  </tableColumns>
  <tableStyleInfo name="TableStyleMedium2" showFirstColumn="1"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8BDC986D-A42B-8B4B-8413-3B00A50D89F7}" name="Table_H2.7.a_Share_of_adults_age_45_and_older_in_households_using_safely_managed_sanitation_services_Percentage_disaggregation_a" displayName="Table_H2.7.a_Share_of_adults_age_45_and_older_in_households_using_safely_managed_sanitation_services_Percentage_disaggregation_a" ref="A50:E55" totalsRowShown="0" headerRowDxfId="1031" dataDxfId="1030">
  <autoFilter ref="A50:E55" xr:uid="{8BDC986D-A42B-8B4B-8413-3B00A50D89F7}"/>
  <tableColumns count="5">
    <tableColumn id="1" xr3:uid="{F7E6CE53-70AF-1C41-A37E-95F45AFC3BE8}" name="Region" dataDxfId="1029"/>
    <tableColumn id="2" xr3:uid="{730961EE-61BC-C648-99C9-36A25CE258CB}" name="No difficulty" dataDxfId="1028"/>
    <tableColumn id="3" xr3:uid="{5FBA022B-2E2A-574C-A9A4-AEA25FF47817}" name="Any difficulty" dataDxfId="1027"/>
    <tableColumn id="4" xr3:uid="{7E1AB944-5146-E845-8316-CFF74022E67A}" name="Difference" dataDxfId="1026"/>
    <tableColumn id="5" xr3:uid="{AC110650-7517-AB4F-B3CF-ABEE26453383}" name="Statistical Significance of the Difference" dataDxfId="1025"/>
  </tableColumns>
  <tableStyleInfo name="TableStyleMedium2" showFirstColumn="1"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552CFCE4-0DB1-BE42-A28E-CFB5A7D693D0}" name="Table_H2.7.b_Share_of_adults_age_45_and_older_in_households_using_safely_managed_sanitation_services_Percentage_disaggregation_b" displayName="Table_H2.7.b_Share_of_adults_age_45_and_older_in_households_using_safely_managed_sanitation_services_Percentage_disaggregation_b" ref="G50:N55" totalsRowShown="0" headerRowDxfId="1024" dataDxfId="1023">
  <autoFilter ref="G50:N55" xr:uid="{552CFCE4-0DB1-BE42-A28E-CFB5A7D693D0}"/>
  <tableColumns count="8">
    <tableColumn id="1" xr3:uid="{B5121ABF-AFDA-AE45-AEBA-98551B56E514}" name="Region" dataDxfId="1022"/>
    <tableColumn id="2" xr3:uid="{140AC49C-0D4A-2E44-B73E-0FFEE71D61F1}" name="No difficulty" dataDxfId="1021"/>
    <tableColumn id="3" xr3:uid="{29B46485-1F0A-284E-8090-BB6FA9ED22F6}" name="Some difficulty" dataDxfId="1020"/>
    <tableColumn id="4" xr3:uid="{06B241DD-EDF0-DE46-939A-C7E6A445C28C}" name="Difference" dataDxfId="1019"/>
    <tableColumn id="5" xr3:uid="{F45FDF5B-2FCD-8A4A-A1EE-AF0838BA2745}" name="Statistical Significance of the Difference" dataDxfId="1018"/>
    <tableColumn id="6" xr3:uid="{04F58BE5-8809-C646-B2AF-FE476BFAF202}" name="At least a lot of difficulty" dataDxfId="1017"/>
    <tableColumn id="7" xr3:uid="{92800108-A42D-7641-809B-5371571A95AC}" name="Difference No difficulty &amp; At least a lot of difficulty" dataDxfId="1016"/>
    <tableColumn id="8" xr3:uid="{67C0D36A-D473-0D47-87E5-74737077F6FC}" name="Statistical Significance of the Difference (No difficulty vs At least a lot)" dataDxfId="1015"/>
  </tableColumns>
  <tableStyleInfo name="TableStyleMedium2" showFirstColumn="1"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B98B1DA6-06BC-C540-BA4F-59C906A96B56}" name="Table_H2.7.c_Share_of_adults_age_45_and_older_in_households_using_safely_managed_sanitation_services_Percentage_disaggregation_c" displayName="Table_H2.7.c_Share_of_adults_age_45_and_older_in_households_using_safely_managed_sanitation_services_Percentage_disaggregation_c" ref="P50:T55" totalsRowShown="0" headerRowDxfId="1014" dataDxfId="1013">
  <autoFilter ref="P50:T55" xr:uid="{B98B1DA6-06BC-C540-BA4F-59C906A96B56}"/>
  <tableColumns count="5">
    <tableColumn id="1" xr3:uid="{0C4486E5-2F93-F24B-8A11-10A2D60C21A3}" name="Region" dataDxfId="1012"/>
    <tableColumn id="2" xr3:uid="{270BB9CE-0203-DC41-93BD-F6C7D4463A28}" name="No or some difficulty" dataDxfId="1011"/>
    <tableColumn id="3" xr3:uid="{2029296F-303C-E84D-B060-513A8D9D9731}" name="At least a lot of difficulty" dataDxfId="1010"/>
    <tableColumn id="4" xr3:uid="{F8FFE74D-91C2-404D-9F92-40EF0A728AB8}" name="Difference" dataDxfId="1009"/>
    <tableColumn id="5" xr3:uid="{D146B10D-094A-954D-B09D-8A6126D7024E}" name="Statistical Significance of the Difference" dataDxfId="1008"/>
  </tableColumns>
  <tableStyleInfo name="TableStyleMedium2" showFirstColumn="1"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D910C6B1-E5CE-A743-8864-EC8D23C17111}" name="Table_S1.1.a_Share_of_all_adults_in_households_with_electricity_Percentage_disaggregation_a" displayName="Table_S1.1.a_Share_of_all_adults_in_households_with_electricity_Percentage_disaggregation_a" ref="A2:E7" totalsRowShown="0" headerRowDxfId="1007" dataDxfId="1006">
  <autoFilter ref="A2:E7" xr:uid="{D910C6B1-E5CE-A743-8864-EC8D23C17111}"/>
  <tableColumns count="5">
    <tableColumn id="1" xr3:uid="{AA8F923A-1CE5-D74B-B473-2A23D3841D5A}" name="Region" dataDxfId="1005"/>
    <tableColumn id="2" xr3:uid="{8B1C2373-88CB-3747-908E-43EC9665E2D5}" name="No difficulty" dataDxfId="1004"/>
    <tableColumn id="3" xr3:uid="{FD973B79-47A8-374B-8448-59F9E63AECB4}" name="Any difficulty" dataDxfId="1003"/>
    <tableColumn id="4" xr3:uid="{3B5D5BAA-3124-8541-80B0-E75E9E9C0E0F}" name="Difference" dataDxfId="1002"/>
    <tableColumn id="5" xr3:uid="{BD0E0152-BF04-DC44-B731-3A9270D0ACE9}" name="Statistical Significance of the Difference" dataDxfId="1001"/>
  </tableColumns>
  <tableStyleInfo name="TableStyleMedium2" showFirstColumn="1" showLastColumn="0" showRowStripes="1"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85C5CA47-3BD1-5B4A-BCF7-CDC2B357A941}" name="Table_S1.1.b_Share_of_all_adults_in_households_with_electricity_Percentage_disaggregation_b" displayName="Table_S1.1.b_Share_of_all_adults_in_households_with_electricity_Percentage_disaggregation_b" ref="G2:N7" totalsRowShown="0" headerRowDxfId="1000" dataDxfId="999">
  <autoFilter ref="G2:N7" xr:uid="{85C5CA47-3BD1-5B4A-BCF7-CDC2B357A941}"/>
  <tableColumns count="8">
    <tableColumn id="1" xr3:uid="{7CF629FF-1F61-8D41-AEEF-C32656165FB1}" name="Region" dataDxfId="998"/>
    <tableColumn id="2" xr3:uid="{2A57954E-7598-1845-9F2E-FB3983AB2FB5}" name="No difficulty" dataDxfId="997"/>
    <tableColumn id="3" xr3:uid="{EFD6D4FE-66D2-0A48-ACA7-F503F43A8118}" name="Some difficulty" dataDxfId="996"/>
    <tableColumn id="4" xr3:uid="{D6EBB1D4-1AA9-F342-9E2E-C8CA0CEF1929}" name="Difference" dataDxfId="995"/>
    <tableColumn id="5" xr3:uid="{8A208698-7E24-AD48-B3A9-2C03E7A77656}" name="Statistical Significance of the Difference" dataDxfId="994"/>
    <tableColumn id="6" xr3:uid="{3AE366F0-FDC5-2B43-A243-DADF94B92C4F}" name="At least a lot of difficulty" dataDxfId="993"/>
    <tableColumn id="7" xr3:uid="{5249E0C2-8254-EF47-83E0-C9926B30494D}" name="Difference No difficulty &amp; At least a lot of difficulty" dataDxfId="992"/>
    <tableColumn id="8" xr3:uid="{319F2363-D3D5-2047-94AD-6353EDCC6F61}" name="Statistical Significance of the Difference (No difficulty vs At least a lot)" dataDxfId="991"/>
  </tableColumns>
  <tableStyleInfo name="TableStyleMedium2" showFirstColumn="1" showLastColumn="0" showRowStripes="1"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9683C962-147E-A140-8EF0-27926D8AAEE1}" name="Table_S1.1.c_Share_of_all_adults_in_households_with_electricity_Percentage_disaggregation_c" displayName="Table_S1.1.c_Share_of_all_adults_in_households_with_electricity_Percentage_disaggregation_c" ref="P2:T7" totalsRowShown="0" headerRowDxfId="990" dataDxfId="989">
  <autoFilter ref="P2:T7" xr:uid="{9683C962-147E-A140-8EF0-27926D8AAEE1}"/>
  <tableColumns count="5">
    <tableColumn id="1" xr3:uid="{D63E54DA-12DA-AF4F-B3C6-93B9E9D200FC}" name="Region" dataDxfId="988"/>
    <tableColumn id="2" xr3:uid="{99BDD645-7E37-444B-8A69-DFA373157BA8}" name="No or some difficulty" dataDxfId="987"/>
    <tableColumn id="3" xr3:uid="{DE13B0A8-929C-E34B-8E74-464C92F7FA71}" name="At least a lot of difficulty" dataDxfId="986"/>
    <tableColumn id="4" xr3:uid="{ED59F454-F4EA-2A48-BB96-8982A2755DAE}" name="Difference" dataDxfId="985"/>
    <tableColumn id="5" xr3:uid="{D127E449-459B-334A-A78A-D0D37450E0D6}" name="Statistical Significance of the Difference" dataDxfId="984"/>
  </tableColumns>
  <tableStyleInfo name="TableStyleMedium2" showFirstColumn="1" showLastColumn="0" showRowStripes="1" showColumnStripes="0"/>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259B0C7E-7AE3-7B4D-A916-F7D6F92DD11D}" name="Table_S1.2.a_Share_of_females_in_households_with_electricity_Percentage_disaggregation_a" displayName="Table_S1.2.a_Share_of_females_in_households_with_electricity_Percentage_disaggregation_a" ref="A10:E15" totalsRowShown="0" headerRowDxfId="983" dataDxfId="982">
  <autoFilter ref="A10:E15" xr:uid="{259B0C7E-7AE3-7B4D-A916-F7D6F92DD11D}"/>
  <tableColumns count="5">
    <tableColumn id="1" xr3:uid="{A2170F3D-55EC-C948-8448-C751FB12F546}" name="Region" dataDxfId="981"/>
    <tableColumn id="2" xr3:uid="{7EC0CE11-228E-DF40-BF8F-C4462931DFB3}" name="No difficulty" dataDxfId="980"/>
    <tableColumn id="3" xr3:uid="{0035E683-BBF2-1D4D-B332-DFA63EBB108E}" name="Any difficulty" dataDxfId="979"/>
    <tableColumn id="4" xr3:uid="{023C5597-EF81-7C48-A32B-C93D4FDBA5C6}" name="Difference" dataDxfId="978"/>
    <tableColumn id="5" xr3:uid="{B2ADF19F-EA0D-974F-9359-1EC7A3D72D02}" name="Statistical Significance of the Difference" dataDxfId="977"/>
  </tableColumns>
  <tableStyleInfo name="TableStyleMedium2" showFirstColumn="1" showLastColumn="0" showRowStripes="1" showColumnStripes="0"/>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96D62B74-B6E6-3943-AA6D-F3FEFFDD41A8}" name="Table_S1.2.b_Share_of_females_in_households_with_electricity_Percentage_disaggregation_b" displayName="Table_S1.2.b_Share_of_females_in_households_with_electricity_Percentage_disaggregation_b" ref="G10:N15" totalsRowShown="0" headerRowDxfId="976" dataDxfId="975">
  <autoFilter ref="G10:N15" xr:uid="{96D62B74-B6E6-3943-AA6D-F3FEFFDD41A8}"/>
  <tableColumns count="8">
    <tableColumn id="1" xr3:uid="{3A7AE178-5390-CB47-BD94-B927C48A3156}" name="Region" dataDxfId="974"/>
    <tableColumn id="2" xr3:uid="{61A0359F-7FF8-4F46-9F8F-B8F49849156D}" name="No difficulty" dataDxfId="973"/>
    <tableColumn id="3" xr3:uid="{860D4E36-A1A8-2D49-AB58-E1EBD192DFCC}" name="Some difficulty" dataDxfId="972"/>
    <tableColumn id="4" xr3:uid="{A7727A94-8391-3141-B9A9-B36BE14F5465}" name="Difference" dataDxfId="971"/>
    <tableColumn id="5" xr3:uid="{7DB311A2-EAA9-FA47-B4F2-155F5B30A0C2}" name="Statistical Significance of the Difference" dataDxfId="970"/>
    <tableColumn id="6" xr3:uid="{946FABDD-E8EA-CD48-8E55-1BBA076FCDE4}" name="At least a lot of difficulty" dataDxfId="969"/>
    <tableColumn id="7" xr3:uid="{CA516508-40AB-0D42-BE7A-25D7D7F2B4A6}" name="Difference No difficulty &amp; At least a lot of difficulty" dataDxfId="968"/>
    <tableColumn id="8" xr3:uid="{AB8BAB4A-555B-4146-8A7D-23D2B95393A8}" name="Statistical Significance of the Difference (No difficulty vs At least a lot)" dataDxfId="967"/>
  </tableColumns>
  <tableStyleInfo name="TableStyleMedium2" showFirstColumn="1" showLastColumn="0" showRowStripes="1" showColumnStripes="0"/>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4172171F-B81B-844D-BB72-E9516EB1944D}" name="Table_S1.2.c_Share_of_females_in_households_with_electricity_Percentage_disaggregation_c" displayName="Table_S1.2.c_Share_of_females_in_households_with_electricity_Percentage_disaggregation_c" ref="P10:T15" totalsRowShown="0" headerRowDxfId="966" dataDxfId="965">
  <autoFilter ref="P10:T15" xr:uid="{4172171F-B81B-844D-BB72-E9516EB1944D}"/>
  <tableColumns count="5">
    <tableColumn id="1" xr3:uid="{D91D10CC-9780-4842-B192-A402F1CF95E7}" name="Region" dataDxfId="964"/>
    <tableColumn id="2" xr3:uid="{53D50014-F5F3-A94A-9473-75BBCC4F0843}" name="No or some difficulty" dataDxfId="963"/>
    <tableColumn id="3" xr3:uid="{C7EC0E29-1025-3147-ABB5-99016E9EBA50}" name="At least a lot of difficulty" dataDxfId="962"/>
    <tableColumn id="4" xr3:uid="{920A1C6F-7E07-FE42-B3DB-2421C0E2F7B2}" name="Difference" dataDxfId="961"/>
    <tableColumn id="5" xr3:uid="{87D7B933-D2FB-3649-B4BE-376AF5A7F1F1}" name="Statistical Significance of the Difference" dataDxfId="960"/>
  </tableColumns>
  <tableStyleInfo name="TableStyleMedium2" showFirstColumn="1" showLastColumn="0" showRowStripes="1" showColumnStripes="0"/>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82D13BB4-694D-674B-993A-46C838C86898}" name="Table_S1.3.a_Share_of_males_in_households_with_electricity_Percentage_disaggregation_a" displayName="Table_S1.3.a_Share_of_males_in_households_with_electricity_Percentage_disaggregation_a" ref="A18:E23" totalsRowShown="0" headerRowDxfId="959" dataDxfId="958">
  <autoFilter ref="A18:E23" xr:uid="{82D13BB4-694D-674B-993A-46C838C86898}"/>
  <tableColumns count="5">
    <tableColumn id="1" xr3:uid="{D10C5CEB-B590-4B44-AAFA-CF4A81DAB8AD}" name="Region" dataDxfId="957"/>
    <tableColumn id="2" xr3:uid="{3FA7FFC5-8EF9-C047-A177-74ACCA0CC1B6}" name="No difficulty" dataDxfId="956"/>
    <tableColumn id="3" xr3:uid="{9D820119-BF0A-AA4C-86F1-095A3C4E8B44}" name="Any difficulty" dataDxfId="955"/>
    <tableColumn id="4" xr3:uid="{5158495B-B5E4-6043-8F17-26D268602D25}" name="Difference" dataDxfId="954"/>
    <tableColumn id="5" xr3:uid="{E1D4D9F2-E433-7C48-941B-43F3ECD26FB4}" name="Statistical Significance of the Difference" dataDxfId="953"/>
  </tableColumns>
  <tableStyleInfo name="TableStyleMedium2" showFirstColumn="1"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3CB96ED-F7AB-C245-9D1B-C8AE6503EA12}" name="Table_E2_Share_of_all_adults_who_have_less_than_primary_school_completion_Percentage_by_functional_difficulty_type" displayName="Table_E2_Share_of_all_adults_who_have_less_than_primary_school_completion_Percentage_by_functional_difficulty_type" ref="A10:H15" totalsRowShown="0" headerRowDxfId="2125" dataDxfId="2124">
  <autoFilter ref="A10:H15" xr:uid="{93CB96ED-F7AB-C245-9D1B-C8AE6503EA12}"/>
  <tableColumns count="8">
    <tableColumn id="1" xr3:uid="{8AC347CA-15B1-C045-A7DA-7F8F69941780}" name="Region" dataDxfId="2123"/>
    <tableColumn id="2" xr3:uid="{694E5795-85A6-5046-BF79-1A9841BA16A7}" name="No Difficulty" dataDxfId="2122"/>
    <tableColumn id="3" xr3:uid="{996C51F5-70B1-5A4C-9654-6EA2B605E5F1}" name="Seeing" dataDxfId="2121"/>
    <tableColumn id="4" xr3:uid="{DC4B502F-F36D-EB48-AA22-74287ACEED8B}" name="Hearing" dataDxfId="2120"/>
    <tableColumn id="5" xr3:uid="{7D86F565-96ED-AD40-B91A-D1D1F1ED68F7}" name="Mobility" dataDxfId="2119"/>
    <tableColumn id="6" xr3:uid="{99AB4E55-1BE5-4E42-8361-E7372E0AB420}" name="Cognition" dataDxfId="2118"/>
    <tableColumn id="7" xr3:uid="{787CCD11-A482-1847-9A55-86FA44662703}" name="Self-Care" dataDxfId="2117"/>
    <tableColumn id="8" xr3:uid="{5863D094-EC87-5B43-96F4-C2DA95EEDBA1}" name="Communication" dataDxfId="2116"/>
  </tableColumns>
  <tableStyleInfo name="TableStyleMedium2" showFirstColumn="1" showLastColumn="0" showRowStripes="1" showColumnStripes="0"/>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D126120E-4D69-1849-8B69-D21B2D69C6BE}" name="Table_S1.3.b_Share_of_males_in_households_with_electricity_Percentage_disaggregation_b" displayName="Table_S1.3.b_Share_of_males_in_households_with_electricity_Percentage_disaggregation_b" ref="G18:N23" totalsRowShown="0" headerRowDxfId="952" dataDxfId="951">
  <autoFilter ref="G18:N23" xr:uid="{D126120E-4D69-1849-8B69-D21B2D69C6BE}"/>
  <tableColumns count="8">
    <tableColumn id="1" xr3:uid="{24633094-43BC-5641-9871-E4DDADFE9A08}" name="Region" dataDxfId="950"/>
    <tableColumn id="2" xr3:uid="{6B843C3B-B5C6-CE48-AD2F-D2B01CFAF9E6}" name="No difficulty" dataDxfId="949"/>
    <tableColumn id="3" xr3:uid="{F978744A-950E-A64A-8586-47C5E025F050}" name="Some difficulty" dataDxfId="948"/>
    <tableColumn id="4" xr3:uid="{3F0977DA-35AD-924D-AA6E-67FEFE0667FD}" name="Difference" dataDxfId="947"/>
    <tableColumn id="5" xr3:uid="{CBE70013-3F83-F648-9F90-CB285A465B2E}" name="Statistical Significance of the Difference" dataDxfId="946"/>
    <tableColumn id="6" xr3:uid="{81C6BC3D-1470-FD4D-9B2C-9E8558F05712}" name="At least a lot of difficulty" dataDxfId="945"/>
    <tableColumn id="7" xr3:uid="{BD512F9E-312F-BB49-A73C-3DE7EF91BC11}" name="Difference No difficulty &amp; At least a lot of difficulty" dataDxfId="944"/>
    <tableColumn id="8" xr3:uid="{84EEC0BB-C65D-1642-B9D4-828C137E849A}" name="Statistical Significance of the Difference (No difficulty vs At least a lot)" dataDxfId="943"/>
  </tableColumns>
  <tableStyleInfo name="TableStyleMedium2" showFirstColumn="1" showLastColumn="0" showRowStripes="1" showColumnStripes="0"/>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65C24FD1-9EF3-804C-A1D8-4A11E4FEC0C7}" name="Table_S1.3.c_Share_of_males_in_households_with_electricity_Percentage_disaggregation_c" displayName="Table_S1.3.c_Share_of_males_in_households_with_electricity_Percentage_disaggregation_c" ref="P18:T23" totalsRowShown="0" headerRowDxfId="942" dataDxfId="941">
  <autoFilter ref="P18:T23" xr:uid="{65C24FD1-9EF3-804C-A1D8-4A11E4FEC0C7}"/>
  <tableColumns count="5">
    <tableColumn id="1" xr3:uid="{082776EA-ED28-6046-82AC-136788A16E76}" name="Region" dataDxfId="940"/>
    <tableColumn id="2" xr3:uid="{01D951DA-574C-CA49-B7A8-3AED2E12677E}" name="No or some difficulty" dataDxfId="939"/>
    <tableColumn id="3" xr3:uid="{B4345CEE-7607-3146-8BCC-B2C0BEEC534C}" name="At least a lot of difficulty" dataDxfId="938"/>
    <tableColumn id="4" xr3:uid="{DC5169D7-7E9F-C648-8987-59077160E458}" name="Difference" dataDxfId="937"/>
    <tableColumn id="5" xr3:uid="{4AA5A94A-B428-6749-8218-28EF806D2D0A}" name="Statistical Significance of the Difference" dataDxfId="936"/>
  </tableColumns>
  <tableStyleInfo name="TableStyleMedium2" showFirstColumn="1" showLastColumn="0" showRowStripes="1" showColumnStripes="0"/>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4E874879-760C-5440-8999-B5066A1FBA66}" name="Table_S1.4.a_Share_of_rural_residents_in_households_with_electricity_Percentage_disaggregation_a" displayName="Table_S1.4.a_Share_of_rural_residents_in_households_with_electricity_Percentage_disaggregation_a" ref="A26:E31" totalsRowShown="0" headerRowDxfId="935" dataDxfId="934">
  <autoFilter ref="A26:E31" xr:uid="{4E874879-760C-5440-8999-B5066A1FBA66}"/>
  <tableColumns count="5">
    <tableColumn id="1" xr3:uid="{C0C17E55-7E84-474C-B2F8-0EFE712348DD}" name="Region" dataDxfId="933"/>
    <tableColumn id="2" xr3:uid="{1C3A7ACF-59B1-AA40-9964-9ED2E6AC6089}" name="No difficulty" dataDxfId="932"/>
    <tableColumn id="3" xr3:uid="{3DD4762B-14FC-7F4B-BE1A-0CAC4340DE1C}" name="Any difficulty" dataDxfId="931"/>
    <tableColumn id="4" xr3:uid="{900C6062-C37A-EF47-950E-921B91357ABA}" name="Difference" dataDxfId="930"/>
    <tableColumn id="5" xr3:uid="{25EE553E-012F-E04B-8C1D-372A62E706CE}" name="Statistical Significance of the Difference" dataDxfId="929"/>
  </tableColumns>
  <tableStyleInfo name="TableStyleMedium2" showFirstColumn="1" showLastColumn="0" showRowStripes="1" showColumnStripes="0"/>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5C607C2F-93D4-954C-99F7-16BBF550D91F}" name="Table_S1.4.b_Share_of_rural_residents_in_households_with_electricity_Percentage_disaggregation_b" displayName="Table_S1.4.b_Share_of_rural_residents_in_households_with_electricity_Percentage_disaggregation_b" ref="G26:N31" totalsRowShown="0" headerRowDxfId="928" dataDxfId="927">
  <autoFilter ref="G26:N31" xr:uid="{5C607C2F-93D4-954C-99F7-16BBF550D91F}"/>
  <tableColumns count="8">
    <tableColumn id="1" xr3:uid="{3A58D191-A4A6-314C-B317-7CD8028F503C}" name="Region" dataDxfId="926"/>
    <tableColumn id="2" xr3:uid="{986AD353-FE68-9C4F-9B65-0BFF6AEC8164}" name="No difficulty" dataDxfId="925"/>
    <tableColumn id="3" xr3:uid="{A071FEF8-DC8B-0E4C-8468-16CD5181FBF0}" name="Some difficulty" dataDxfId="924"/>
    <tableColumn id="4" xr3:uid="{510151BD-2163-AF41-A6E8-68EA2577F534}" name="Difference" dataDxfId="923"/>
    <tableColumn id="5" xr3:uid="{D23C12FC-30BF-0644-BACB-915CD6A37AD5}" name="Statistical Significance of the Difference" dataDxfId="922"/>
    <tableColumn id="6" xr3:uid="{4DA8DF9B-20BC-5A4D-A269-803B333EDF0C}" name="At least a lot of difficulty" dataDxfId="921"/>
    <tableColumn id="7" xr3:uid="{8A324490-6E13-7046-9F9B-30D24D1A3797}" name="Difference No difficulty &amp; At least a lot of difficulty" dataDxfId="920"/>
    <tableColumn id="8" xr3:uid="{A49C0E45-4A66-0C42-81BC-CC56791A4C2D}" name="Statistical Significance of the Difference (No difficulty vs At least a lot)" dataDxfId="919"/>
  </tableColumns>
  <tableStyleInfo name="TableStyleMedium2" showFirstColumn="1" showLastColumn="0" showRowStripes="1" showColumnStripes="0"/>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3701B28-3C3F-CD49-A17D-EF5CF2BD48CA}" name="Table_S1.4.c_Share_of_rural_residents_in_households_with_electricity_Percentage_disaggregation_c" displayName="Table_S1.4.c_Share_of_rural_residents_in_households_with_electricity_Percentage_disaggregation_c" ref="P26:T31" totalsRowShown="0" headerRowDxfId="918" dataDxfId="917">
  <autoFilter ref="P26:T31" xr:uid="{03701B28-3C3F-CD49-A17D-EF5CF2BD48CA}"/>
  <tableColumns count="5">
    <tableColumn id="1" xr3:uid="{CA504988-E436-F74D-9E9B-963568030407}" name="Region" dataDxfId="916"/>
    <tableColumn id="2" xr3:uid="{21B6DC41-24B0-0643-BD70-3DF89AD9F0A8}" name="No or some difficulty" dataDxfId="915"/>
    <tableColumn id="3" xr3:uid="{FDB6B47C-986C-6D42-97DD-8048995084B1}" name="At least a lot of difficulty" dataDxfId="914"/>
    <tableColumn id="4" xr3:uid="{F04FADA8-2D53-AE49-83C9-73B731E153A4}" name="Difference" dataDxfId="913"/>
    <tableColumn id="5" xr3:uid="{442CDA44-713E-0A49-B097-0C2F1E59E4EE}" name="Statistical Significance of the Difference" dataDxfId="912"/>
  </tableColumns>
  <tableStyleInfo name="TableStyleMedium2" showFirstColumn="1" showLastColumn="0" showRowStripes="1" showColumnStripes="0"/>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71532C3-EAB2-414E-921E-369664195EA8}" name="Table_S1.5.a_Share_of_urban_residents_in_households_with_electricity_Percentage_disaggregation_a" displayName="Table_S1.5.a_Share_of_urban_residents_in_households_with_electricity_Percentage_disaggregation_a" ref="A34:E39" totalsRowShown="0" headerRowDxfId="911" dataDxfId="910">
  <autoFilter ref="A34:E39" xr:uid="{071532C3-EAB2-414E-921E-369664195EA8}"/>
  <tableColumns count="5">
    <tableColumn id="1" xr3:uid="{4B3DE25B-56A8-424E-997A-01ADB87272EF}" name="Region" dataDxfId="909"/>
    <tableColumn id="2" xr3:uid="{13C1DB9C-3D4C-B749-B1E7-6E2D738D69BA}" name="No difficulty" dataDxfId="908"/>
    <tableColumn id="3" xr3:uid="{F4951824-11C8-6F4B-B83F-51CBF25A9833}" name="Any difficulty" dataDxfId="907"/>
    <tableColumn id="4" xr3:uid="{BD5F5B83-D024-A949-828A-E37B82059D8B}" name="Difference" dataDxfId="906"/>
    <tableColumn id="5" xr3:uid="{753E6AB7-E63B-D44F-B3C9-2ED35D80CA7F}" name="Statistical Significance of the Difference" dataDxfId="905"/>
  </tableColumns>
  <tableStyleInfo name="TableStyleMedium2" showFirstColumn="1" showLastColumn="0" showRowStripes="1" showColumnStripes="0"/>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337A65F3-91AD-E24C-B2E9-1FDECC1C98C0}" name="Table_S1.5.b_Share_of_urban_residents_in_households_with_electricity_Percentage_disaggregation_b" displayName="Table_S1.5.b_Share_of_urban_residents_in_households_with_electricity_Percentage_disaggregation_b" ref="G34:N39" totalsRowShown="0" headerRowDxfId="904" dataDxfId="903">
  <autoFilter ref="G34:N39" xr:uid="{337A65F3-91AD-E24C-B2E9-1FDECC1C98C0}"/>
  <tableColumns count="8">
    <tableColumn id="1" xr3:uid="{E92842F2-3864-6B4B-BE4E-764F8E2D7601}" name="Region" dataDxfId="902"/>
    <tableColumn id="2" xr3:uid="{48F79A80-FDBC-A444-B721-1EE168CCE8E1}" name="No difficulty" dataDxfId="901"/>
    <tableColumn id="3" xr3:uid="{BABC28FB-E30D-484C-90DC-360F2D2D3696}" name="Some difficulty" dataDxfId="900"/>
    <tableColumn id="4" xr3:uid="{50E64D65-27E6-8740-867C-7C0892382DE9}" name="Difference" dataDxfId="899"/>
    <tableColumn id="5" xr3:uid="{4572BA08-0B7D-BF47-85CC-2CE8A20558F2}" name="Statistical Significance of the Difference" dataDxfId="898"/>
    <tableColumn id="6" xr3:uid="{8F08BA79-F8C0-B54A-B873-F473D0D5EFA2}" name="At least a lot of difficulty" dataDxfId="897"/>
    <tableColumn id="7" xr3:uid="{D625AF1F-191A-494C-8825-73F14F1D4571}" name="Difference No difficulty &amp; At least a lot of difficulty" dataDxfId="896"/>
    <tableColumn id="8" xr3:uid="{24DF761D-2BCA-814C-9DB2-6F659DCB8395}" name="Statistical Significance of the Difference (No difficulty vs At least a lot)" dataDxfId="895"/>
  </tableColumns>
  <tableStyleInfo name="TableStyleMedium2" showFirstColumn="1" showLastColumn="0" showRowStripes="1" showColumnStripes="0"/>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70FF8505-334D-484F-8BA0-B8598FDF8705}" name="Table_S1.5.c_Share_of_urban_residents_in_households_with_electricity_Percentage_disaggregation_c" displayName="Table_S1.5.c_Share_of_urban_residents_in_households_with_electricity_Percentage_disaggregation_c" ref="P34:T39" totalsRowShown="0" headerRowDxfId="894" dataDxfId="893">
  <autoFilter ref="P34:T39" xr:uid="{70FF8505-334D-484F-8BA0-B8598FDF8705}"/>
  <tableColumns count="5">
    <tableColumn id="1" xr3:uid="{7D096540-30BD-614B-9250-D3429006C934}" name="Region" dataDxfId="892"/>
    <tableColumn id="2" xr3:uid="{2B214DCA-1EE6-1243-8E34-38E717F85D46}" name="No or some difficulty" dataDxfId="891"/>
    <tableColumn id="3" xr3:uid="{55A65BDD-477D-5D4F-910A-5B1550FA5ADD}" name="At least a lot of difficulty" dataDxfId="890"/>
    <tableColumn id="4" xr3:uid="{55F04CC6-78C0-5C4D-8499-0AD27EE082A0}" name="Difference" dataDxfId="889"/>
    <tableColumn id="5" xr3:uid="{CA526E2C-F781-8644-946F-39E6B7E1A153}" name="Statistical Significance of the Difference" dataDxfId="888"/>
  </tableColumns>
  <tableStyleInfo name="TableStyleMedium2" showFirstColumn="1" showLastColumn="0" showRowStripes="1" showColumnStripes="0"/>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D3EF8A55-A93D-EA42-BBDD-25470A7411D7}" name="Table_S1.6.a_Share_of_adults_age_15_to_44_in_households_with_electricity_Percentage_disaggregation_a" displayName="Table_S1.6.a_Share_of_adults_age_15_to_44_in_households_with_electricity_Percentage_disaggregation_a" ref="A42:E47" totalsRowShown="0" headerRowDxfId="887" dataDxfId="886">
  <autoFilter ref="A42:E47" xr:uid="{D3EF8A55-A93D-EA42-BBDD-25470A7411D7}"/>
  <tableColumns count="5">
    <tableColumn id="1" xr3:uid="{179B5810-E83F-3142-9475-9D5B5C273A42}" name="Region" dataDxfId="885"/>
    <tableColumn id="2" xr3:uid="{9F1346CD-7D85-FE47-A2D8-1F1053D74523}" name="No difficulty" dataDxfId="884"/>
    <tableColumn id="3" xr3:uid="{78FFA5D1-A2EE-AD4E-9B31-FDE327C50360}" name="Any difficulty" dataDxfId="883"/>
    <tableColumn id="4" xr3:uid="{7D3AABD3-5250-F347-BDD5-5B782FB1E530}" name="Difference" dataDxfId="882"/>
    <tableColumn id="5" xr3:uid="{55B0CE71-0544-0744-BF43-2F19791F8657}" name="Statistical Significance of the Difference" dataDxfId="881"/>
  </tableColumns>
  <tableStyleInfo name="TableStyleMedium2" showFirstColumn="1" showLastColumn="0" showRowStripes="1" showColumnStripes="0"/>
</table>
</file>

<file path=xl/tables/table1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C06D4F4E-C29B-A24B-AD37-C8372D1849A9}" name="Table_S1.6.b_Share_of_adults_age_15_to_44_in_households_with_electricity_Percentage_disaggregation_b" displayName="Table_S1.6.b_Share_of_adults_age_15_to_44_in_households_with_electricity_Percentage_disaggregation_b" ref="G42:N47" totalsRowShown="0" headerRowDxfId="880" dataDxfId="879">
  <autoFilter ref="G42:N47" xr:uid="{C06D4F4E-C29B-A24B-AD37-C8372D1849A9}"/>
  <tableColumns count="8">
    <tableColumn id="1" xr3:uid="{5B6036F8-69BC-0043-AFDC-5B9EA480E429}" name="Region" dataDxfId="878"/>
    <tableColumn id="2" xr3:uid="{F491BCDC-D6E8-B94D-AB9D-9457FF4453B9}" name="No difficulty" dataDxfId="877"/>
    <tableColumn id="3" xr3:uid="{78461B8E-A670-144F-8C1E-721392F728F9}" name="Some difficulty" dataDxfId="876"/>
    <tableColumn id="4" xr3:uid="{E3B8357A-5166-6948-8ED2-82F999F54089}" name="Difference" dataDxfId="875"/>
    <tableColumn id="5" xr3:uid="{E0B1E506-1430-3E4A-9B98-9AEE50311057}" name="Statistical Significance of the Difference" dataDxfId="874"/>
    <tableColumn id="6" xr3:uid="{46B1BB04-44F5-FA4A-857D-1D5DEE763FD9}" name="At least a lot of difficulty" dataDxfId="873"/>
    <tableColumn id="7" xr3:uid="{037C5721-8E87-0D4D-B0AE-BB3ABD4476E8}" name="Difference No difficulty &amp; At least a lot of difficulty" dataDxfId="872"/>
    <tableColumn id="8" xr3:uid="{A193CDEA-79F1-004A-AECA-028DD3BA03D2}" name="Statistical Significance of the Difference (No difficulty vs At least a lot)" dataDxfId="871"/>
  </tableColumns>
  <tableStyleInfo name="TableStyleMedium2" showFirstColumn="1"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C4B64B8-861D-574F-844C-349A7430CC53}" name="Table_E3_Share_of_all_adults_who_have_completed_primary_school_Percentage_by_functional_difficulty_type" displayName="Table_E3_Share_of_all_adults_who_have_completed_primary_school_Percentage_by_functional_difficulty_type" ref="A18:H23" totalsRowShown="0" headerRowDxfId="2115" dataDxfId="2114">
  <autoFilter ref="A18:H23" xr:uid="{6C4B64B8-861D-574F-844C-349A7430CC53}"/>
  <tableColumns count="8">
    <tableColumn id="1" xr3:uid="{A5579DCB-6CAE-A148-A230-BABE99EE8232}" name="Region" dataDxfId="2113"/>
    <tableColumn id="2" xr3:uid="{4D5F8D42-590C-F34D-935A-93E2FFCAFB7C}" name="No Difficulty" dataDxfId="2112"/>
    <tableColumn id="3" xr3:uid="{25CD1B0E-2B9D-6B49-A312-0DDD5FAC13C7}" name="Seeing" dataDxfId="2111"/>
    <tableColumn id="4" xr3:uid="{447E8BD5-CAFC-2244-A3CD-2A7174655719}" name="Hearing" dataDxfId="2110"/>
    <tableColumn id="5" xr3:uid="{6C093F67-0270-374F-8CF2-11E2FA49B0BE}" name="Mobility" dataDxfId="2109"/>
    <tableColumn id="6" xr3:uid="{15D71FF8-FAFF-3042-901F-CE712366FB51}" name="Cognition" dataDxfId="2108"/>
    <tableColumn id="7" xr3:uid="{E8F56F7F-14B8-CB4C-992B-7E7CE687A6E6}" name="Self-Care" dataDxfId="2107"/>
    <tableColumn id="8" xr3:uid="{C4A7D625-0377-784A-9CBE-A118998502A4}" name="Communication" dataDxfId="2106"/>
  </tableColumns>
  <tableStyleInfo name="TableStyleMedium2" showFirstColumn="1" showLastColumn="0" showRowStripes="1" showColumnStripes="0"/>
</table>
</file>

<file path=xl/tables/table1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2F91FB0-215E-4846-B42D-21B9903C7AB4}" name="Table_S1.6.c_Share_of_adults_age_15_to_44_in_households_with_electricity_Percentage_disaggregation_c" displayName="Table_S1.6.c_Share_of_adults_age_15_to_44_in_households_with_electricity_Percentage_disaggregation_c" ref="P42:T47" totalsRowShown="0" headerRowDxfId="870" dataDxfId="869">
  <autoFilter ref="P42:T47" xr:uid="{02F91FB0-215E-4846-B42D-21B9903C7AB4}"/>
  <tableColumns count="5">
    <tableColumn id="1" xr3:uid="{59FF879D-50C3-2D44-9384-3633A5A809FC}" name="Region" dataDxfId="868"/>
    <tableColumn id="2" xr3:uid="{AFEFAEC2-8973-6642-B46F-0741B0629D83}" name="No or some difficulty" dataDxfId="867"/>
    <tableColumn id="3" xr3:uid="{22FFE988-8CAB-1546-9B35-C793771C1F45}" name="At least a lot of difficulty" dataDxfId="866"/>
    <tableColumn id="4" xr3:uid="{1825ACE8-8B70-CF43-A5FC-42E7C35EB123}" name="Difference" dataDxfId="865"/>
    <tableColumn id="5" xr3:uid="{8549CA5D-4B0D-3D42-B0D2-3B34F88ABCD3}" name="Statistical Significance of the Difference" dataDxfId="864"/>
  </tableColumns>
  <tableStyleInfo name="TableStyleMedium2" showFirstColumn="1" showLastColumn="0" showRowStripes="1" showColumnStripes="0"/>
</table>
</file>

<file path=xl/tables/table1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E9ABCB72-B41D-C347-963D-207AF5E2E2E8}" name="Table_S1.7.a_Share_of_adults_age_45_and_older_in_households_with_electricity_Percentage_disaggregation_a" displayName="Table_S1.7.a_Share_of_adults_age_45_and_older_in_households_with_electricity_Percentage_disaggregation_a" ref="A50:E55" totalsRowShown="0" headerRowDxfId="863" dataDxfId="862">
  <autoFilter ref="A50:E55" xr:uid="{E9ABCB72-B41D-C347-963D-207AF5E2E2E8}"/>
  <tableColumns count="5">
    <tableColumn id="1" xr3:uid="{FA9380BB-414A-AE44-8555-1BCF389CA009}" name="Region" dataDxfId="861"/>
    <tableColumn id="2" xr3:uid="{CEC0B13D-1B55-B645-9CD1-5CF02778693E}" name="No difficulty" dataDxfId="860"/>
    <tableColumn id="3" xr3:uid="{34C44B90-7F0F-7649-954F-1E1827CE163A}" name="Any difficulty" dataDxfId="859"/>
    <tableColumn id="4" xr3:uid="{CD3CA133-E07F-CC41-B434-7774186C9DA6}" name="Difference" dataDxfId="858"/>
    <tableColumn id="5" xr3:uid="{70D7F057-C75B-BF4B-9F90-324FB35B8763}" name="Statistical Significance of the Difference" dataDxfId="857"/>
  </tableColumns>
  <tableStyleInfo name="TableStyleMedium2" showFirstColumn="1" showLastColumn="0" showRowStripes="1" showColumnStripes="0"/>
</table>
</file>

<file path=xl/tables/table1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194FBF43-2667-5C44-8A3E-B09D3AC8A284}" name="Table_S1.7.b_Share_of_adults_age_45_and_older_in_households_with_electricity_Percentage_disaggregation_b" displayName="Table_S1.7.b_Share_of_adults_age_45_and_older_in_households_with_electricity_Percentage_disaggregation_b" ref="G50:N55" totalsRowShown="0" headerRowDxfId="856" dataDxfId="855">
  <autoFilter ref="G50:N55" xr:uid="{194FBF43-2667-5C44-8A3E-B09D3AC8A284}"/>
  <tableColumns count="8">
    <tableColumn id="1" xr3:uid="{8CD67D0F-2E2C-304C-92C1-50D3CE6DEAA9}" name="Region" dataDxfId="854"/>
    <tableColumn id="2" xr3:uid="{C75BFF55-6121-3040-8D50-58DBE083CFDD}" name="No difficulty" dataDxfId="853"/>
    <tableColumn id="3" xr3:uid="{EF49167B-6012-0748-B9C5-600EAC28D731}" name="Some difficulty" dataDxfId="852"/>
    <tableColumn id="4" xr3:uid="{DC685D07-AC96-0F40-9234-5338E360645E}" name="Difference" dataDxfId="851"/>
    <tableColumn id="5" xr3:uid="{F711CA51-778D-8E43-8242-7D213DF7AF2E}" name="Statistical Significance of the Difference" dataDxfId="850"/>
    <tableColumn id="6" xr3:uid="{478EC2E0-2E53-EC40-8113-A97754204F77}" name="At least a lot of difficulty" dataDxfId="849"/>
    <tableColumn id="7" xr3:uid="{B96EC810-FA26-8747-9B51-B9B793B99828}" name="Difference No difficulty &amp; At least a lot of difficulty" dataDxfId="848"/>
    <tableColumn id="8" xr3:uid="{7643B0AB-3F21-1048-A8FB-C3CAEF2C6557}" name="Statistical Significance of the Difference (No difficulty vs At least a lot)" dataDxfId="847"/>
  </tableColumns>
  <tableStyleInfo name="TableStyleMedium2" showFirstColumn="1" showLastColumn="0" showRowStripes="1" showColumnStripes="0"/>
</table>
</file>

<file path=xl/tables/table1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EC08F7C-CF38-134B-A2DE-54BB4BA99FB5}" name="Table_S1.7.c_Share_of_adults_age_45_and_older_in_households_with_electricity_Percentage_disaggregation_c" displayName="Table_S1.7.c_Share_of_adults_age_45_and_older_in_households_with_electricity_Percentage_disaggregation_c" ref="P50:T55" totalsRowShown="0" headerRowDxfId="846" dataDxfId="845">
  <autoFilter ref="P50:T55" xr:uid="{0EC08F7C-CF38-134B-A2DE-54BB4BA99FB5}"/>
  <tableColumns count="5">
    <tableColumn id="1" xr3:uid="{C395A0EE-2F0B-C549-A8DC-1E5A1CC713C3}" name="Region" dataDxfId="844"/>
    <tableColumn id="2" xr3:uid="{3242F155-6418-844A-9186-9DE54312A6AC}" name="No or some difficulty" dataDxfId="843"/>
    <tableColumn id="3" xr3:uid="{D150DAB0-810A-4845-BE10-B7B38E44EDB5}" name="At least a lot of difficulty" dataDxfId="842"/>
    <tableColumn id="4" xr3:uid="{FA6E12C9-CAB8-714F-B3CF-92521CC0B32A}" name="Difference" dataDxfId="841"/>
    <tableColumn id="5" xr3:uid="{99093119-5773-0F4C-B2CD-47827F275F93}" name="Statistical Significance of the Difference" dataDxfId="840"/>
  </tableColumns>
  <tableStyleInfo name="TableStyleMedium2" showFirstColumn="1" showLastColumn="0" showRowStripes="1" showColumnStripes="0"/>
</table>
</file>

<file path=xl/tables/table1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8367CE05-B346-4F4D-9E1A-93244217FA9C}" name="Table_S2.1.a_Share_of_all_adults_in_households_with_clean_cooking_fuel_Percentage_disaggregation_a" displayName="Table_S2.1.a_Share_of_all_adults_in_households_with_clean_cooking_fuel_Percentage_disaggregation_a" ref="A2:E7" totalsRowShown="0" headerRowDxfId="839" dataDxfId="838">
  <autoFilter ref="A2:E7" xr:uid="{8367CE05-B346-4F4D-9E1A-93244217FA9C}"/>
  <tableColumns count="5">
    <tableColumn id="1" xr3:uid="{EA25F25A-9DBF-8346-BD59-B657DEE41E8B}" name="Region" dataDxfId="837"/>
    <tableColumn id="2" xr3:uid="{6D9B27C5-EDB7-FA40-AAD0-382D869E7759}" name="No difficulty" dataDxfId="836"/>
    <tableColumn id="3" xr3:uid="{82135D4A-2DEB-EF42-920E-36DAFC1C40B1}" name="Any difficulty" dataDxfId="835"/>
    <tableColumn id="4" xr3:uid="{ED630663-058C-4C44-9883-31D107283C2A}" name="Difference" dataDxfId="834"/>
    <tableColumn id="5" xr3:uid="{04905FD8-5D48-6745-8292-F45F7EFD1EFD}" name="Statistical Significance of the Difference" dataDxfId="833"/>
  </tableColumns>
  <tableStyleInfo name="TableStyleMedium2" showFirstColumn="1" showLastColumn="0" showRowStripes="1" showColumnStripes="0"/>
</table>
</file>

<file path=xl/tables/table1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B8C5A322-D404-5747-8A68-DB549CF103B9}" name="Table_S2.1.b_Share_of_all_adults_in_households_with_clean_cooking_fuel_Percentage_disaggregation_b" displayName="Table_S2.1.b_Share_of_all_adults_in_households_with_clean_cooking_fuel_Percentage_disaggregation_b" ref="G2:N7" totalsRowShown="0" headerRowDxfId="832" dataDxfId="831">
  <autoFilter ref="G2:N7" xr:uid="{B8C5A322-D404-5747-8A68-DB549CF103B9}"/>
  <tableColumns count="8">
    <tableColumn id="1" xr3:uid="{ABCFCF62-6755-184F-B5F5-5E21D4A0555A}" name="Region" dataDxfId="830"/>
    <tableColumn id="2" xr3:uid="{F76D2143-1ED4-3540-8DB2-75BA365EF6E8}" name="No difficulty" dataDxfId="829"/>
    <tableColumn id="3" xr3:uid="{852CAAC2-E337-F848-9D9D-9DA1F8414B50}" name="Some difficulty" dataDxfId="828"/>
    <tableColumn id="4" xr3:uid="{E585586F-ECCC-8A4E-BB79-6A533E6EC87E}" name="Difference" dataDxfId="827"/>
    <tableColumn id="5" xr3:uid="{3AF16D81-6968-8D40-AFF7-E3E34624F5D5}" name="Statistical Significance of the Difference" dataDxfId="826"/>
    <tableColumn id="6" xr3:uid="{FF8174FD-BBD6-2A49-B071-BC73145C3649}" name="At least a lot of difficulty" dataDxfId="825"/>
    <tableColumn id="7" xr3:uid="{D81D2850-BC41-374C-B0D1-5355B86B3B14}" name="Difference No difficulty &amp; At least a lot of difficulty" dataDxfId="824"/>
    <tableColumn id="8" xr3:uid="{513EA490-68D2-5C4A-B1C9-A7E66C7D0D3A}" name="Statistical Significance of the Difference (No difficulty vs At least a lot)" dataDxfId="823"/>
  </tableColumns>
  <tableStyleInfo name="TableStyleMedium2" showFirstColumn="1" showLastColumn="0" showRowStripes="1" showColumnStripes="0"/>
</table>
</file>

<file path=xl/tables/table1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B5CEF3D6-EFE9-7D44-A83B-3ABEEC5D8B10}" name="Table_S2.1.c_Share_of_all_adults_in_households_with_clean_cooking_fuel_Percentage_disaggregation_c" displayName="Table_S2.1.c_Share_of_all_adults_in_households_with_clean_cooking_fuel_Percentage_disaggregation_c" ref="P2:T7" totalsRowShown="0" headerRowDxfId="822" dataDxfId="821">
  <autoFilter ref="P2:T7" xr:uid="{B5CEF3D6-EFE9-7D44-A83B-3ABEEC5D8B10}"/>
  <tableColumns count="5">
    <tableColumn id="1" xr3:uid="{09ACA221-2C35-A643-867B-323FBF3FFF9C}" name="Region" dataDxfId="820"/>
    <tableColumn id="2" xr3:uid="{E3A82415-373E-B947-BDFF-7399FCF25F56}" name="No or some difficulty" dataDxfId="819"/>
    <tableColumn id="3" xr3:uid="{A11CCE21-A053-B749-A704-25A34AF48878}" name="At least a lot of difficulty" dataDxfId="818"/>
    <tableColumn id="4" xr3:uid="{8D9433BB-F960-DF42-987A-71F2CA2D3616}" name="Difference" dataDxfId="817"/>
    <tableColumn id="5" xr3:uid="{1E25EA72-1E2E-5C41-9396-8372DFB1423D}" name="Statistical Significance of the Difference" dataDxfId="816"/>
  </tableColumns>
  <tableStyleInfo name="TableStyleMedium2" showFirstColumn="1" showLastColumn="0" showRowStripes="1" showColumnStripes="0"/>
</table>
</file>

<file path=xl/tables/table1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9E266ED6-1183-AF4A-B7BC-5E1DF0777092}" name="Table_S2.2.a_Share_of_females_in_households_with_clean_cooking_fuel_Percentage_disaggregation_a" displayName="Table_S2.2.a_Share_of_females_in_households_with_clean_cooking_fuel_Percentage_disaggregation_a" ref="A10:E15" totalsRowShown="0" headerRowDxfId="815" dataDxfId="814">
  <autoFilter ref="A10:E15" xr:uid="{9E266ED6-1183-AF4A-B7BC-5E1DF0777092}"/>
  <tableColumns count="5">
    <tableColumn id="1" xr3:uid="{EDE37F52-D7FD-AB42-AC92-2C36942E561B}" name="Region" dataDxfId="813"/>
    <tableColumn id="2" xr3:uid="{2C49D518-A1AD-8741-8A95-BA01D844992D}" name="No difficulty" dataDxfId="812"/>
    <tableColumn id="3" xr3:uid="{BF79756D-3703-B94E-BE34-D3FC3B53972F}" name="Any difficulty" dataDxfId="811"/>
    <tableColumn id="4" xr3:uid="{A4191424-46FE-EE44-AC78-E52B9570F347}" name="Difference" dataDxfId="810"/>
    <tableColumn id="5" xr3:uid="{D098A15E-F306-3F47-B8F0-A84DBC25B01B}" name="Statistical Significance of the Difference" dataDxfId="809"/>
  </tableColumns>
  <tableStyleInfo name="TableStyleMedium2" showFirstColumn="1" showLastColumn="0" showRowStripes="1" showColumnStripes="0"/>
</table>
</file>

<file path=xl/tables/table1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BB6D438E-8160-BD41-90C7-54A0731246BE}" name="Table_S2.2.b_Share_of_females_in_households_with_clean_cooking_fuel_Percentage_disaggregation_b" displayName="Table_S2.2.b_Share_of_females_in_households_with_clean_cooking_fuel_Percentage_disaggregation_b" ref="G10:N15" totalsRowShown="0" headerRowDxfId="808" dataDxfId="807">
  <autoFilter ref="G10:N15" xr:uid="{BB6D438E-8160-BD41-90C7-54A0731246BE}"/>
  <tableColumns count="8">
    <tableColumn id="1" xr3:uid="{6779F63F-A06A-3943-A433-34DD8D993798}" name="Region" dataDxfId="806"/>
    <tableColumn id="2" xr3:uid="{9B42796D-CAA6-9E47-9D0D-14C2ABB024D8}" name="No difficulty" dataDxfId="805"/>
    <tableColumn id="3" xr3:uid="{6EC5A518-387E-874D-81E8-97FBF4D412A4}" name="Some difficulty" dataDxfId="804"/>
    <tableColumn id="4" xr3:uid="{DF14EE30-98DA-6447-9DC5-A34660634A6F}" name="Difference" dataDxfId="803"/>
    <tableColumn id="5" xr3:uid="{A4B87A8F-8643-C24B-A14C-729911F3D196}" name="Statistical Significance of the Difference" dataDxfId="802"/>
    <tableColumn id="6" xr3:uid="{5770D296-CFBF-5E40-ADC3-41479FD682F1}" name="At least a lot of difficulty" dataDxfId="801"/>
    <tableColumn id="7" xr3:uid="{AEF8B6E9-63F8-FC45-92AE-F01A14C76E43}" name="Difference No difficulty &amp; At least a lot of difficulty" dataDxfId="800"/>
    <tableColumn id="8" xr3:uid="{744F1E33-AA99-4E4C-9AAA-575543227E73}" name="Statistical Significance of the Difference (No difficulty vs At least a lot)" dataDxfId="799"/>
  </tableColumns>
  <tableStyleInfo name="TableStyleMedium2" showFirstColumn="1" showLastColumn="0" showRowStripes="1" showColumnStripes="0"/>
</table>
</file>

<file path=xl/tables/table1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D459B7C1-8D68-CE4C-98E3-AD253CE888D0}" name="Table_S2.2.c_Share_of_females_in_households_with_clean_cooking_fuel_Percentage_disaggregation_c" displayName="Table_S2.2.c_Share_of_females_in_households_with_clean_cooking_fuel_Percentage_disaggregation_c" ref="P10:T15" totalsRowShown="0" headerRowDxfId="798" dataDxfId="797">
  <autoFilter ref="P10:T15" xr:uid="{D459B7C1-8D68-CE4C-98E3-AD253CE888D0}"/>
  <tableColumns count="5">
    <tableColumn id="1" xr3:uid="{1E302388-2E74-814A-8AAB-DB68DDB033B6}" name="Region" dataDxfId="796"/>
    <tableColumn id="2" xr3:uid="{896FD367-E4A2-394A-B041-F991EC35ACE9}" name="No or some difficulty" dataDxfId="795"/>
    <tableColumn id="3" xr3:uid="{10F8D3E0-CC32-364C-9F14-2FF110DBFC4A}" name="At least a lot of difficulty" dataDxfId="794"/>
    <tableColumn id="4" xr3:uid="{925AB392-B0CA-714F-905A-7C6D76362F96}" name="Difference" dataDxfId="793"/>
    <tableColumn id="5" xr3:uid="{15BF4E56-976B-D44B-AD3D-72EE8A669E08}" name="Statistical Significance of the Difference" dataDxfId="792"/>
  </tableColumns>
  <tableStyleInfo name="TableStyleMedium2" showFirstColumn="1"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5FD1636-8A51-7A41-9C7A-54E49CB6A2B1}" name="Table_E4_Share_of_all_adults_who_have_completed_secondary_school_or_higher_Percentage_by_functional_difficulty_type" displayName="Table_E4_Share_of_all_adults_who_have_completed_secondary_school_or_higher_Percentage_by_functional_difficulty_type" ref="A26:H31" totalsRowShown="0" headerRowDxfId="2105" dataDxfId="2104">
  <autoFilter ref="A26:H31" xr:uid="{F5FD1636-8A51-7A41-9C7A-54E49CB6A2B1}"/>
  <tableColumns count="8">
    <tableColumn id="1" xr3:uid="{927FD5E7-CD1F-3A4A-BF76-FCB6E0205F4A}" name="Region" dataDxfId="2103"/>
    <tableColumn id="2" xr3:uid="{7DD11CE5-7E06-C240-9169-57EE8783F4B5}" name="No Difficulty" dataDxfId="2102"/>
    <tableColumn id="3" xr3:uid="{79A46D6F-3C84-EF41-A6A4-EEEFF4A3E3F7}" name="Seeing" dataDxfId="2101"/>
    <tableColumn id="4" xr3:uid="{FBDA866C-A07F-FF4C-89A9-D9FD4BA31674}" name="Hearing" dataDxfId="2100"/>
    <tableColumn id="5" xr3:uid="{B98008B6-A32D-1246-8D73-3EEA121E57CA}" name="Mobility" dataDxfId="2099"/>
    <tableColumn id="6" xr3:uid="{F4467108-43EC-C948-B33A-C8BE3FD343F4}" name="Cognition" dataDxfId="2098"/>
    <tableColumn id="7" xr3:uid="{77D7267D-E324-D14E-A9EB-20B7FA422602}" name="Self-Care" dataDxfId="2097"/>
    <tableColumn id="8" xr3:uid="{844C2F96-B29D-9540-916E-1CD6C83A88EC}" name="Communication" dataDxfId="2096"/>
  </tableColumns>
  <tableStyleInfo name="TableStyleMedium2" showFirstColumn="1" showLastColumn="0" showRowStripes="1" showColumnStripes="0"/>
</table>
</file>

<file path=xl/tables/table1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EC90C228-ADE8-5D45-B49F-6D7E4E9520EC}" name="Table_S2.3.a_Share_of_males_in_households_with_clean_cooking_fuel_Percentage_disaggregation_a" displayName="Table_S2.3.a_Share_of_males_in_households_with_clean_cooking_fuel_Percentage_disaggregation_a" ref="A18:E23" totalsRowShown="0" headerRowDxfId="791" dataDxfId="790">
  <autoFilter ref="A18:E23" xr:uid="{EC90C228-ADE8-5D45-B49F-6D7E4E9520EC}"/>
  <tableColumns count="5">
    <tableColumn id="1" xr3:uid="{A5324479-4743-9541-B644-FF5440DF3A62}" name="Region" dataDxfId="789"/>
    <tableColumn id="2" xr3:uid="{97C298F1-8102-734B-9A17-42517D827A23}" name="No difficulty" dataDxfId="788"/>
    <tableColumn id="3" xr3:uid="{2671C819-84FE-B449-86FF-5AA89E09E515}" name="Any difficulty" dataDxfId="787"/>
    <tableColumn id="4" xr3:uid="{5ED6A829-ED40-CC4C-90F1-3C3D47BDD25A}" name="Difference" dataDxfId="786"/>
    <tableColumn id="5" xr3:uid="{26EADEA4-8709-F84A-88B7-03C904FECDC4}" name="Statistical Significance of the Difference" dataDxfId="785"/>
  </tableColumns>
  <tableStyleInfo name="TableStyleMedium2" showFirstColumn="1" showLastColumn="0" showRowStripes="1" showColumnStripes="0"/>
</table>
</file>

<file path=xl/tables/table1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4F212211-8E5C-824D-ADFE-0512A4327CD6}" name="Table_S2.3.b_Share_of_males_in_households_with_clean_cooking_fuel_Percentage_disaggregation_b" displayName="Table_S2.3.b_Share_of_males_in_households_with_clean_cooking_fuel_Percentage_disaggregation_b" ref="G18:N23" totalsRowShown="0" headerRowDxfId="784" dataDxfId="783">
  <autoFilter ref="G18:N23" xr:uid="{4F212211-8E5C-824D-ADFE-0512A4327CD6}"/>
  <tableColumns count="8">
    <tableColumn id="1" xr3:uid="{7574B84F-F9AD-0C49-AF0C-3F1A493A93B9}" name="Region" dataDxfId="782"/>
    <tableColumn id="2" xr3:uid="{AFCF1269-28FA-344D-B2AB-3F18707DFC3A}" name="No difficulty" dataDxfId="781"/>
    <tableColumn id="3" xr3:uid="{A647E57C-B0D3-284D-91E3-B783FF7CE830}" name="Some difficulty" dataDxfId="780"/>
    <tableColumn id="4" xr3:uid="{CF2D15A1-EE77-B94A-887B-67599953D07A}" name="Difference" dataDxfId="779"/>
    <tableColumn id="5" xr3:uid="{D7309D2B-94B1-A044-AE88-9B9F83099E4C}" name="Statistical Significance of the Difference" dataDxfId="778"/>
    <tableColumn id="6" xr3:uid="{51D45B79-5FB1-9440-9C22-F5A3CDEB8349}" name="At least a lot of difficulty" dataDxfId="777"/>
    <tableColumn id="7" xr3:uid="{05DBF6CC-7A77-AA40-B702-48074E66DABB}" name="Difference No difficulty &amp; At least a lot of difficulty" dataDxfId="776"/>
    <tableColumn id="8" xr3:uid="{DAD91DFB-6661-2D49-B6FD-52A0518F722B}" name="Statistical Significance of the Difference (No difficulty vs At least a lot)" dataDxfId="775"/>
  </tableColumns>
  <tableStyleInfo name="TableStyleMedium2" showFirstColumn="1" showLastColumn="0" showRowStripes="1" showColumnStripes="0"/>
</table>
</file>

<file path=xl/tables/table1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17A67C81-C685-D745-A4E9-502CBC334B01}" name="Table_S2.3.c_Share_of_males_in_households_with_clean_cooking_fuel_Percentage_disaggregation_c" displayName="Table_S2.3.c_Share_of_males_in_households_with_clean_cooking_fuel_Percentage_disaggregation_c" ref="P18:T23" totalsRowShown="0" headerRowDxfId="774" dataDxfId="773">
  <autoFilter ref="P18:T23" xr:uid="{17A67C81-C685-D745-A4E9-502CBC334B01}"/>
  <tableColumns count="5">
    <tableColumn id="1" xr3:uid="{30C19566-A5E3-6845-999C-AD493E7CD764}" name="Region" dataDxfId="772"/>
    <tableColumn id="2" xr3:uid="{B01EFFB2-8662-914B-8EBA-FBF9BAF9ECDA}" name="No or some difficulty" dataDxfId="771"/>
    <tableColumn id="3" xr3:uid="{DADDFDC7-79A6-5F40-BEF2-4C1264FCDD94}" name="At least a lot of difficulty" dataDxfId="770"/>
    <tableColumn id="4" xr3:uid="{46391973-0447-6E49-8B8D-9EB6F9F91A4C}" name="Difference" dataDxfId="769"/>
    <tableColumn id="5" xr3:uid="{BA7FB521-44C6-2648-B52A-914F15C0DE75}" name="Statistical Significance of the Difference" dataDxfId="768"/>
  </tableColumns>
  <tableStyleInfo name="TableStyleMedium2" showFirstColumn="1" showLastColumn="0" showRowStripes="1" showColumnStripes="0"/>
</table>
</file>

<file path=xl/tables/table1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E8D8827B-4ECB-CE4F-816E-F2375812DAAE}" name="Table_S2.4.a_Share_of_rural_residents_in_households_with_clean_cooking_fuel_Percentage_disaggregation_a" displayName="Table_S2.4.a_Share_of_rural_residents_in_households_with_clean_cooking_fuel_Percentage_disaggregation_a" ref="A26:E31" totalsRowShown="0" headerRowDxfId="767" dataDxfId="766">
  <autoFilter ref="A26:E31" xr:uid="{E8D8827B-4ECB-CE4F-816E-F2375812DAAE}"/>
  <tableColumns count="5">
    <tableColumn id="1" xr3:uid="{E6B6EE55-20B1-1242-89E5-A65E24BEA447}" name="Region" dataDxfId="765"/>
    <tableColumn id="2" xr3:uid="{04B55BF0-44C0-1445-92FB-FDB1B30D174E}" name="No difficulty" dataDxfId="764"/>
    <tableColumn id="3" xr3:uid="{DC3F9B0C-5DD0-8845-9C0F-5B2AC60D636B}" name="Any difficulty" dataDxfId="763"/>
    <tableColumn id="4" xr3:uid="{8AA4575C-E531-EF4C-ADF3-AD897CD60760}" name="Difference" dataDxfId="762"/>
    <tableColumn id="5" xr3:uid="{3B43FA36-CC62-224F-8D2F-64907A04DFBF}" name="Statistical Significance of the Difference" dataDxfId="761"/>
  </tableColumns>
  <tableStyleInfo name="TableStyleMedium2" showFirstColumn="1" showLastColumn="0" showRowStripes="1" showColumnStripes="0"/>
</table>
</file>

<file path=xl/tables/table1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38C6939C-63D3-9145-A65A-0D0677A418B0}" name="Table_S2.4.b_Share_of_rural_residents_in_households_with_clean_cooking_fuel_Percentage_disaggregation_b" displayName="Table_S2.4.b_Share_of_rural_residents_in_households_with_clean_cooking_fuel_Percentage_disaggregation_b" ref="G26:N31" totalsRowShown="0" headerRowDxfId="760" dataDxfId="759">
  <autoFilter ref="G26:N31" xr:uid="{38C6939C-63D3-9145-A65A-0D0677A418B0}"/>
  <tableColumns count="8">
    <tableColumn id="1" xr3:uid="{C2F88EED-88AD-0D4C-86D6-6D7AB73C05E7}" name="Region" dataDxfId="758"/>
    <tableColumn id="2" xr3:uid="{816AF078-E81E-444E-BB61-DBB15057AC8E}" name="No difficulty" dataDxfId="757"/>
    <tableColumn id="3" xr3:uid="{F28C3A3E-536E-AA43-BA4A-4DA14444E166}" name="Some difficulty" dataDxfId="756"/>
    <tableColumn id="4" xr3:uid="{A542971C-CE9D-3D46-8E16-E52DE5AA516D}" name="Difference" dataDxfId="755"/>
    <tableColumn id="5" xr3:uid="{EDCA0C4A-18F0-FB49-B1CC-8E32E709550B}" name="Statistical Significance of the Difference" dataDxfId="754"/>
    <tableColumn id="6" xr3:uid="{5DC47D68-5A3B-7447-B3B6-EE858226B26F}" name="At least a lot of difficulty" dataDxfId="753"/>
    <tableColumn id="7" xr3:uid="{32A0B7AC-2E44-D041-B55E-EE6F5379FE6C}" name="Difference No difficulty &amp; At least a lot of difficulty" dataDxfId="752"/>
    <tableColumn id="8" xr3:uid="{7D68AEFA-39D7-6345-806E-6DBE6527E8F5}" name="Statistical Significance of the Difference (No difficulty vs At least a lot)" dataDxfId="751"/>
  </tableColumns>
  <tableStyleInfo name="TableStyleMedium2" showFirstColumn="1" showLastColumn="0" showRowStripes="1" showColumnStripes="0"/>
</table>
</file>

<file path=xl/tables/table1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6DE6B42C-4D3E-F943-B378-A85B8A99E44F}" name="Table_S2.4.c_Share_of_rural_residents_in_households_with_clean_cooking_fuel_Percentage_disaggregation_c" displayName="Table_S2.4.c_Share_of_rural_residents_in_households_with_clean_cooking_fuel_Percentage_disaggregation_c" ref="P26:T31" totalsRowShown="0" headerRowDxfId="750" dataDxfId="749">
  <autoFilter ref="P26:T31" xr:uid="{6DE6B42C-4D3E-F943-B378-A85B8A99E44F}"/>
  <tableColumns count="5">
    <tableColumn id="1" xr3:uid="{576D3484-C856-7C4D-9F7B-4FBCCEC63C7E}" name="Region" dataDxfId="748"/>
    <tableColumn id="2" xr3:uid="{0355A942-8AE9-D747-B66A-737A9D46D2E5}" name="No or some difficulty" dataDxfId="747"/>
    <tableColumn id="3" xr3:uid="{2847E4DC-0611-BD45-AD15-66AEDF827437}" name="At least a lot of difficulty" dataDxfId="746"/>
    <tableColumn id="4" xr3:uid="{FC940081-8847-4C49-8877-13B479733384}" name="Difference" dataDxfId="745"/>
    <tableColumn id="5" xr3:uid="{7738C23A-8CC2-2D4D-8B5A-BE4E50EFEA97}" name="Statistical Significance of the Difference" dataDxfId="744"/>
  </tableColumns>
  <tableStyleInfo name="TableStyleMedium2" showFirstColumn="1" showLastColumn="0" showRowStripes="1" showColumnStripes="0"/>
</table>
</file>

<file path=xl/tables/table1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5D785F12-B948-5C4B-BBC0-EAE6A6BCB87C}" name="Table_S2.5.a_Share_of_urban_residents_in_households_with_clean_cooking_fuel_Percentage_disaggregation_a" displayName="Table_S2.5.a_Share_of_urban_residents_in_households_with_clean_cooking_fuel_Percentage_disaggregation_a" ref="A34:E39" totalsRowShown="0" headerRowDxfId="743" dataDxfId="742">
  <autoFilter ref="A34:E39" xr:uid="{5D785F12-B948-5C4B-BBC0-EAE6A6BCB87C}"/>
  <tableColumns count="5">
    <tableColumn id="1" xr3:uid="{2898BC9E-97DD-274D-8510-0B6AF0E2C3B3}" name="Region" dataDxfId="741"/>
    <tableColumn id="2" xr3:uid="{9F4281FF-DB37-3742-AFAF-23A1DEC8DEA2}" name="No difficulty" dataDxfId="740"/>
    <tableColumn id="3" xr3:uid="{D0C8E17B-9D6B-4E42-A496-B4F0E199734C}" name="Any difficulty" dataDxfId="739"/>
    <tableColumn id="4" xr3:uid="{7C6F14D6-A5EA-9040-8E91-EFA6166FD76A}" name="Difference" dataDxfId="738"/>
    <tableColumn id="5" xr3:uid="{166BFC52-CAB6-714D-B6B7-738C4A0AE327}" name="Statistical Significance of the Difference" dataDxfId="737"/>
  </tableColumns>
  <tableStyleInfo name="TableStyleMedium2" showFirstColumn="1" showLastColumn="0" showRowStripes="1" showColumnStripes="0"/>
</table>
</file>

<file path=xl/tables/table1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5F23634C-7099-F144-8BD2-A9EB15EF2BA4}" name="Table_S2.5.b_Share_of_urban_residents_in_households_with_clean_cooking_fuel_Percentage_disaggregation_b" displayName="Table_S2.5.b_Share_of_urban_residents_in_households_with_clean_cooking_fuel_Percentage_disaggregation_b" ref="G34:N39" totalsRowShown="0" headerRowDxfId="736" dataDxfId="735">
  <autoFilter ref="G34:N39" xr:uid="{5F23634C-7099-F144-8BD2-A9EB15EF2BA4}"/>
  <tableColumns count="8">
    <tableColumn id="1" xr3:uid="{AA88E6E1-9B90-1345-8D60-6DD6A47B606A}" name="Region" dataDxfId="734"/>
    <tableColumn id="2" xr3:uid="{320A9224-4BB9-CB48-98D7-37ABD5F5F4BC}" name="No difficulty" dataDxfId="733"/>
    <tableColumn id="3" xr3:uid="{F572D44B-1562-EB4F-9194-10482CF1511D}" name="Some difficulty" dataDxfId="732"/>
    <tableColumn id="4" xr3:uid="{DE3E855E-D6C4-DF46-A506-1AB9CC45FF91}" name="Difference" dataDxfId="731"/>
    <tableColumn id="5" xr3:uid="{6693A0DE-0855-4A49-9536-DCB2A94ACD74}" name="Statistical Significance of the Difference" dataDxfId="730"/>
    <tableColumn id="6" xr3:uid="{A70C9EEC-58F3-0A4F-9826-BEF5F46E2231}" name="At least a lot of difficulty" dataDxfId="729"/>
    <tableColumn id="7" xr3:uid="{0D6161E9-F293-3B44-BBFE-D278D162F1C2}" name="Difference No difficulty &amp; At least a lot of difficulty" dataDxfId="728"/>
    <tableColumn id="8" xr3:uid="{6137D5E2-A559-BD47-B26F-5452B75B98B2}" name="Statistical Significance of the Difference (No difficulty vs At least a lot)" dataDxfId="727"/>
  </tableColumns>
  <tableStyleInfo name="TableStyleMedium2" showFirstColumn="1" showLastColumn="0" showRowStripes="1" showColumnStripes="0"/>
</table>
</file>

<file path=xl/tables/table1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9A941BA9-F67B-5149-B476-1B972942DC2F}" name="Table_S2.5.c_Share_of_urban_residents_in_households_with_clean_cooking_fuel_Percentage_disaggregation_c" displayName="Table_S2.5.c_Share_of_urban_residents_in_households_with_clean_cooking_fuel_Percentage_disaggregation_c" ref="P34:T39" totalsRowShown="0" headerRowDxfId="726" dataDxfId="725">
  <autoFilter ref="P34:T39" xr:uid="{9A941BA9-F67B-5149-B476-1B972942DC2F}"/>
  <tableColumns count="5">
    <tableColumn id="1" xr3:uid="{22139D7F-207A-4C4A-B149-15DC5B7C5DA6}" name="Region" dataDxfId="724"/>
    <tableColumn id="2" xr3:uid="{E78FFAA8-066C-BF40-B661-7297434BDABB}" name="No or some difficulty" dataDxfId="723"/>
    <tableColumn id="3" xr3:uid="{13830472-0CB9-0D44-B6B9-59FDDBC46114}" name="At least a lot of difficulty" dataDxfId="722"/>
    <tableColumn id="4" xr3:uid="{2752B2F3-A98C-D94D-B7E4-913C9BB5CBE0}" name="Difference" dataDxfId="721"/>
    <tableColumn id="5" xr3:uid="{BDC2E560-DA22-DB44-8ADC-92A7D1BF3E57}" name="Statistical Significance of the Difference" dataDxfId="720"/>
  </tableColumns>
  <tableStyleInfo name="TableStyleMedium2" showFirstColumn="1" showLastColumn="0" showRowStripes="1" showColumnStripes="0"/>
</table>
</file>

<file path=xl/tables/table1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C17832D-DE1C-6849-A61B-21AAA16768B8}" name="Table_S2.6.a_Share_of_adults_age_15_to_44_in_households_with_clean_cooking_fuel_Percentage_disaggregation_a" displayName="Table_S2.6.a_Share_of_adults_age_15_to_44_in_households_with_clean_cooking_fuel_Percentage_disaggregation_a" ref="A42:E47" totalsRowShown="0" headerRowDxfId="719" dataDxfId="718">
  <autoFilter ref="A42:E47" xr:uid="{0C17832D-DE1C-6849-A61B-21AAA16768B8}"/>
  <tableColumns count="5">
    <tableColumn id="1" xr3:uid="{9996B7A9-F7C4-184A-BDE5-DFCFFBE179BF}" name="Region" dataDxfId="717"/>
    <tableColumn id="2" xr3:uid="{A54B63DF-FFCF-8C46-9B39-0D42FE1BCDD1}" name="No difficulty" dataDxfId="716"/>
    <tableColumn id="3" xr3:uid="{D258FC72-6C92-5A45-82C7-BD307A9486C8}" name="Any difficulty" dataDxfId="715"/>
    <tableColumn id="4" xr3:uid="{066F6450-4F88-3E46-B8EC-4E5424A9CE83}" name="Difference" dataDxfId="714"/>
    <tableColumn id="5" xr3:uid="{3F73A484-F4CF-8E41-BAFC-2B0EA4045B1D}" name="Statistical Significance of the Difference" dataDxfId="713"/>
  </tableColumns>
  <tableStyleInfo name="TableStyleMedium2" showFirstColumn="1"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39184CF-D80A-1D4A-BD16-573442CFEFB2}" name="Table_H1_Share_of_all_adults_in_households_using_safely_managed_drinking_water_Percentage_by_functional_difficulty_type" displayName="Table_H1_Share_of_all_adults_in_households_using_safely_managed_drinking_water_Percentage_by_functional_difficulty_type" ref="A34:H39" totalsRowShown="0" headerRowDxfId="2095" dataDxfId="2094">
  <autoFilter ref="A34:H39" xr:uid="{339184CF-D80A-1D4A-BD16-573442CFEFB2}"/>
  <tableColumns count="8">
    <tableColumn id="1" xr3:uid="{3A2B628C-CF55-9D44-A29C-44759BDC1192}" name="Region" dataDxfId="2093"/>
    <tableColumn id="2" xr3:uid="{685E02E3-5FC2-E847-AB30-EBA825BD98FD}" name="No Difficulty" dataDxfId="2092"/>
    <tableColumn id="3" xr3:uid="{D02FA37B-F0E0-494B-81FC-A2F7894B8E5B}" name="Seeing" dataDxfId="2091"/>
    <tableColumn id="4" xr3:uid="{32BA7F2D-9E47-8E44-8D93-83B34E556C46}" name="Hearing" dataDxfId="2090"/>
    <tableColumn id="5" xr3:uid="{0F20E8D7-56BB-C745-8B27-36F98803AB86}" name="Mobility" dataDxfId="2089"/>
    <tableColumn id="6" xr3:uid="{EB7DF4F5-5F92-8A41-9436-CC6C576EF5AD}" name="Cognition" dataDxfId="2088"/>
    <tableColumn id="7" xr3:uid="{23CCFE76-BFAB-4B46-BCE1-0EA310A8309A}" name="Self-Care" dataDxfId="2087"/>
    <tableColumn id="8" xr3:uid="{A364B1E3-C572-F544-9DE6-3F6C2ECB7842}" name="Communication" dataDxfId="2086"/>
  </tableColumns>
  <tableStyleInfo name="TableStyleMedium2" showFirstColumn="1" showLastColumn="0" showRowStripes="1" showColumnStripes="0"/>
</table>
</file>

<file path=xl/tables/table1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DBDE1C96-4D5C-FB40-B1BB-482C1947D4C0}" name="Table_S2.6.b_Share_of_adults_age_15_to_44_in_households_with_clean_cooking_fuel_Percentage_disaggregation_b" displayName="Table_S2.6.b_Share_of_adults_age_15_to_44_in_households_with_clean_cooking_fuel_Percentage_disaggregation_b" ref="G42:N47" totalsRowShown="0" headerRowDxfId="712" dataDxfId="711">
  <autoFilter ref="G42:N47" xr:uid="{DBDE1C96-4D5C-FB40-B1BB-482C1947D4C0}"/>
  <tableColumns count="8">
    <tableColumn id="1" xr3:uid="{AE2EC5FD-B865-1C46-AD67-855D2D23D320}" name="Region" dataDxfId="710"/>
    <tableColumn id="2" xr3:uid="{830AD365-A4A6-3E4A-A73E-004125D78C83}" name="No difficulty" dataDxfId="709"/>
    <tableColumn id="3" xr3:uid="{C6F385BB-C830-3446-B71B-7860DF9CD26F}" name="Some difficulty" dataDxfId="708"/>
    <tableColumn id="4" xr3:uid="{7AB6FC16-645F-5F4C-ABDE-802E869DFFEB}" name="Difference" dataDxfId="707"/>
    <tableColumn id="5" xr3:uid="{A26ADB94-03E8-9443-9A73-22147649F8EF}" name="Statistical Significance of the Difference" dataDxfId="706"/>
    <tableColumn id="6" xr3:uid="{3769A6F5-0265-7944-978E-0FD8B752217E}" name="At least a lot of difficulty" dataDxfId="705"/>
    <tableColumn id="7" xr3:uid="{8A837514-E8CB-F84A-A896-40A4F7E06CCD}" name="Difference No difficulty &amp; At least a lot of difficulty" dataDxfId="704"/>
    <tableColumn id="8" xr3:uid="{40A1ECC5-0A3B-F54D-BF9C-D9E06CD7D15D}" name="Statistical Significance of the Difference (No difficulty vs At least a lot)" dataDxfId="703"/>
  </tableColumns>
  <tableStyleInfo name="TableStyleMedium2" showFirstColumn="1" showLastColumn="0" showRowStripes="1" showColumnStripes="0"/>
</table>
</file>

<file path=xl/tables/table1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5333993E-ECBE-2F43-B675-2D6C435C89D9}" name="Table_S2.6.c_Share_of_adults_age_15_to_44_in_households_with_clean_cooking_fuel_Percentage_disaggregation_c" displayName="Table_S2.6.c_Share_of_adults_age_15_to_44_in_households_with_clean_cooking_fuel_Percentage_disaggregation_c" ref="P42:T47" totalsRowShown="0" headerRowDxfId="702" dataDxfId="701">
  <autoFilter ref="P42:T47" xr:uid="{5333993E-ECBE-2F43-B675-2D6C435C89D9}"/>
  <tableColumns count="5">
    <tableColumn id="1" xr3:uid="{8C90E7F0-7ED7-6146-AE44-C57CFE02E519}" name="Region" dataDxfId="700"/>
    <tableColumn id="2" xr3:uid="{48477632-0E72-5445-8B04-181F36A8C5E7}" name="No or some difficulty" dataDxfId="699"/>
    <tableColumn id="3" xr3:uid="{9FEAFFA5-C503-B246-95A0-B1A4CBA0BCE4}" name="At least a lot of difficulty" dataDxfId="698"/>
    <tableColumn id="4" xr3:uid="{47D602ED-B628-F34A-B350-DC28A93438BE}" name="Difference" dataDxfId="697"/>
    <tableColumn id="5" xr3:uid="{6E9577F7-496A-6443-B146-7026BA8AE3AA}" name="Statistical Significance of the Difference" dataDxfId="696"/>
  </tableColumns>
  <tableStyleInfo name="TableStyleMedium2" showFirstColumn="1" showLastColumn="0" showRowStripes="1" showColumnStripes="0"/>
</table>
</file>

<file path=xl/tables/table1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CB9B2B14-BB05-EB44-AA23-5123AE9056F5}" name="Table_S2.7.a_Share_of_adults_age_45_and_older_in_households_with_clean_cooking_fuel_Percentage_disaggregation_a" displayName="Table_S2.7.a_Share_of_adults_age_45_and_older_in_households_with_clean_cooking_fuel_Percentage_disaggregation_a" ref="A50:E55" totalsRowShown="0" headerRowDxfId="695" dataDxfId="694">
  <autoFilter ref="A50:E55" xr:uid="{CB9B2B14-BB05-EB44-AA23-5123AE9056F5}"/>
  <tableColumns count="5">
    <tableColumn id="1" xr3:uid="{22DD75C4-E82A-644A-BA8A-84427CE55EB4}" name="Region" dataDxfId="693"/>
    <tableColumn id="2" xr3:uid="{D3D3CB54-85EB-4E44-840A-0DCFC73ECEFE}" name="No difficulty" dataDxfId="692"/>
    <tableColumn id="3" xr3:uid="{0E10FABE-FCEE-9541-8DD4-970171FA47EE}" name="Any difficulty" dataDxfId="691"/>
    <tableColumn id="4" xr3:uid="{8336CD1F-B10B-9646-BD25-4E6A13321BD1}" name="Difference" dataDxfId="690"/>
    <tableColumn id="5" xr3:uid="{105C902F-C9BA-CE4C-8CF5-888C1EE9B9F3}" name="Statistical Significance of the Difference" dataDxfId="689"/>
  </tableColumns>
  <tableStyleInfo name="TableStyleMedium2" showFirstColumn="1" showLastColumn="0" showRowStripes="1" showColumnStripes="0"/>
</table>
</file>

<file path=xl/tables/table1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70806D7E-8A61-4148-BB89-7371E3D41F8E}" name="Table_S2.7.b_Share_of_adults_age_45_and_older_in_households_with_clean_cooking_fuel_Percentage_disaggregation_b" displayName="Table_S2.7.b_Share_of_adults_age_45_and_older_in_households_with_clean_cooking_fuel_Percentage_disaggregation_b" ref="G50:N55" totalsRowShown="0" headerRowDxfId="688" dataDxfId="687">
  <autoFilter ref="G50:N55" xr:uid="{70806D7E-8A61-4148-BB89-7371E3D41F8E}"/>
  <tableColumns count="8">
    <tableColumn id="1" xr3:uid="{8A309F30-7662-6847-BD04-FC723C92A89C}" name="Region" dataDxfId="686"/>
    <tableColumn id="2" xr3:uid="{CBEC4BE7-A4D0-C240-9EA7-2D612A4BD2D0}" name="No difficulty" dataDxfId="685"/>
    <tableColumn id="3" xr3:uid="{55321180-CCFD-B942-BF18-448B807BD8B9}" name="Some difficulty" dataDxfId="684"/>
    <tableColumn id="4" xr3:uid="{A211BEEA-9ED1-8B46-98A2-49363B642A91}" name="Difference" dataDxfId="683"/>
    <tableColumn id="5" xr3:uid="{864BDC5A-F78A-634E-9E5D-47E0B6C48A83}" name="Statistical Significance of the Difference" dataDxfId="682"/>
    <tableColumn id="6" xr3:uid="{40CB4C8B-B56C-A547-952D-243CB56BD47C}" name="At least a lot of difficulty" dataDxfId="681"/>
    <tableColumn id="7" xr3:uid="{C225F236-FD97-CC4D-B34B-D68536CFC848}" name="Difference No difficulty &amp; At least a lot of difficulty" dataDxfId="680"/>
    <tableColumn id="8" xr3:uid="{70AB0A3D-74EB-5947-A712-B6F684EDA3E7}" name="Statistical Significance of the Difference (No difficulty vs At least a lot)" dataDxfId="679"/>
  </tableColumns>
  <tableStyleInfo name="TableStyleMedium2" showFirstColumn="1" showLastColumn="0" showRowStripes="1" showColumnStripes="0"/>
</table>
</file>

<file path=xl/tables/table1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1D66AF0E-6834-FD46-9CE9-94A26AC841D6}" name="Table_S2.7.c_Share_of_adults_age_45_and_older_in_households_with_clean_cooking_fuel_Percentage_disaggregation_c" displayName="Table_S2.7.c_Share_of_adults_age_45_and_older_in_households_with_clean_cooking_fuel_Percentage_disaggregation_c" ref="P50:T55" totalsRowShown="0" headerRowDxfId="678" dataDxfId="677">
  <autoFilter ref="P50:T55" xr:uid="{1D66AF0E-6834-FD46-9CE9-94A26AC841D6}"/>
  <tableColumns count="5">
    <tableColumn id="1" xr3:uid="{A09AEB50-5EB5-DE47-AB96-4DC24987AF3D}" name="Region" dataDxfId="676"/>
    <tableColumn id="2" xr3:uid="{4F722864-01BA-7C44-ABD0-2A472F4E303E}" name="No or some difficulty" dataDxfId="675"/>
    <tableColumn id="3" xr3:uid="{5C192A6B-B476-6E47-B90A-D54BEDBCFE5F}" name="At least a lot of difficulty" dataDxfId="674"/>
    <tableColumn id="4" xr3:uid="{C4CBE2BD-D684-3344-9BF9-28847C193956}" name="Difference" dataDxfId="673"/>
    <tableColumn id="5" xr3:uid="{C1675263-8C7C-7A4D-9C87-B568C81495DA}" name="Statistical Significance of the Difference" dataDxfId="672"/>
  </tableColumns>
  <tableStyleInfo name="TableStyleMedium2" showFirstColumn="1" showLastColumn="0" showRowStripes="1" showColumnStripes="0"/>
</table>
</file>

<file path=xl/tables/table1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4F6F85A9-66FC-C844-86C6-7EAAF2B28181}" name="Table_S3.1.a_Share_of_all_adults_in_households_with_adequate_housing_Percentage_disaggregation_a" displayName="Table_S3.1.a_Share_of_all_adults_in_households_with_adequate_housing_Percentage_disaggregation_a" ref="A2:E7" totalsRowShown="0" headerRowDxfId="671" dataDxfId="670">
  <autoFilter ref="A2:E7" xr:uid="{4F6F85A9-66FC-C844-86C6-7EAAF2B28181}"/>
  <tableColumns count="5">
    <tableColumn id="1" xr3:uid="{8585E692-9763-EA48-BF14-A01FD58EFC50}" name="Region" dataDxfId="669"/>
    <tableColumn id="2" xr3:uid="{D03B3C60-B633-9C46-80C8-F94D531D6DD4}" name="No difficulty" dataDxfId="668"/>
    <tableColumn id="3" xr3:uid="{A4E34EBE-2D44-184B-9E6E-82C47750F826}" name="Any difficulty" dataDxfId="667"/>
    <tableColumn id="4" xr3:uid="{A7CE64F4-21EC-FE44-A3B9-188F2238A963}" name="Difference" dataDxfId="666"/>
    <tableColumn id="5" xr3:uid="{301D470A-151F-364E-BC45-FA96D9E9E135}" name="Statistical Significance of the Difference" dataDxfId="665"/>
  </tableColumns>
  <tableStyleInfo name="TableStyleMedium2" showFirstColumn="1" showLastColumn="0" showRowStripes="1" showColumnStripes="0"/>
</table>
</file>

<file path=xl/tables/table1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F2D8DB4B-FD57-554F-B8F3-570FE5278488}" name="Table_S3.1.b_Share_of_all_adults_in_households_with_adequate_housing_Percentage_disaggregation_b" displayName="Table_S3.1.b_Share_of_all_adults_in_households_with_adequate_housing_Percentage_disaggregation_b" ref="G2:N7" totalsRowShown="0" headerRowDxfId="664" dataDxfId="663">
  <autoFilter ref="G2:N7" xr:uid="{F2D8DB4B-FD57-554F-B8F3-570FE5278488}"/>
  <tableColumns count="8">
    <tableColumn id="1" xr3:uid="{CE8E1575-E8D8-114C-B715-1683473D81FE}" name="Region" dataDxfId="662"/>
    <tableColumn id="2" xr3:uid="{3E1A6B8C-43D5-A24F-9741-10E571305C8D}" name="No difficulty" dataDxfId="661"/>
    <tableColumn id="3" xr3:uid="{E3B43E39-A851-5A4E-86C2-4923EAD116E3}" name="Some difficulty" dataDxfId="660"/>
    <tableColumn id="4" xr3:uid="{A9841DE4-67F4-FE43-932E-55F9533D5543}" name="Difference" dataDxfId="659"/>
    <tableColumn id="5" xr3:uid="{449A10DC-50A0-7444-AD3F-05031654FE4D}" name="Statistical Significance of the Difference" dataDxfId="658"/>
    <tableColumn id="6" xr3:uid="{C3B6A4D4-574B-7843-AB5C-0ADDB6B6C2AA}" name="At least a lot of difficulty" dataDxfId="657"/>
    <tableColumn id="7" xr3:uid="{F9040AF7-C513-CB4F-B7A8-84EED90D4C01}" name="Difference No difficulty &amp; At least a lot of difficulty" dataDxfId="656"/>
    <tableColumn id="8" xr3:uid="{0D25EFD2-FD19-754C-A76B-D845F6BEB396}" name="Statistical Significance of the Difference (No difficulty vs At least a lot)" dataDxfId="655"/>
  </tableColumns>
  <tableStyleInfo name="TableStyleMedium2" showFirstColumn="1" showLastColumn="0" showRowStripes="1" showColumnStripes="0"/>
</table>
</file>

<file path=xl/tables/table1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3F69AC24-9EE5-734F-92D9-43B605C258D5}" name="Table_S3.1.c_Share_of_all_adults_in_households_with_adequate_housing_Percentage_disaggregation_c" displayName="Table_S3.1.c_Share_of_all_adults_in_households_with_adequate_housing_Percentage_disaggregation_c" ref="P2:T7" totalsRowShown="0" headerRowDxfId="654" dataDxfId="653">
  <autoFilter ref="P2:T7" xr:uid="{3F69AC24-9EE5-734F-92D9-43B605C258D5}"/>
  <tableColumns count="5">
    <tableColumn id="1" xr3:uid="{C7B7DC87-DB54-6E46-AC81-FCCE9070C928}" name="Region" dataDxfId="652"/>
    <tableColumn id="2" xr3:uid="{27174397-2B55-EB4A-BD16-E19B0EF898A5}" name="No or some difficulty" dataDxfId="651"/>
    <tableColumn id="3" xr3:uid="{973638C2-D361-8149-86DB-0AB7EC051CEB}" name="At least a lot of difficulty" dataDxfId="650"/>
    <tableColumn id="4" xr3:uid="{E537CD26-8F1B-EE45-88D9-36DF1E42A706}" name="Difference" dataDxfId="649"/>
    <tableColumn id="5" xr3:uid="{738193BF-2DC5-2F4B-93D1-9FC1C163713F}" name="Statistical Significance of the Difference" dataDxfId="648"/>
  </tableColumns>
  <tableStyleInfo name="TableStyleMedium2" showFirstColumn="1" showLastColumn="0" showRowStripes="1" showColumnStripes="0"/>
</table>
</file>

<file path=xl/tables/table1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4A940CDB-2ADD-B343-A7BB-648D6D1BD424}" name="Table_S3.2.a_Share_of_females_in_households_with_adequate_housing_Percentage_disaggregation_a" displayName="Table_S3.2.a_Share_of_females_in_households_with_adequate_housing_Percentage_disaggregation_a" ref="A10:E15" totalsRowShown="0" headerRowDxfId="647" dataDxfId="646">
  <autoFilter ref="A10:E15" xr:uid="{4A940CDB-2ADD-B343-A7BB-648D6D1BD424}"/>
  <tableColumns count="5">
    <tableColumn id="1" xr3:uid="{1EB92EA4-DF13-E346-8C61-6CF400F3E152}" name="Region" dataDxfId="645"/>
    <tableColumn id="2" xr3:uid="{895CA7A5-F308-124E-924C-AB5E3942910C}" name="No difficulty" dataDxfId="644"/>
    <tableColumn id="3" xr3:uid="{273627B0-D255-7C42-833C-FFD9B6DCFB7C}" name="Any difficulty" dataDxfId="643"/>
    <tableColumn id="4" xr3:uid="{E891DB59-7AAF-4B4D-88AF-3F4E254BF88D}" name="Difference" dataDxfId="642"/>
    <tableColumn id="5" xr3:uid="{0D6EA745-707C-3D4A-8F71-B666CF7654C1}" name="Statistical Significance of the Difference" dataDxfId="641"/>
  </tableColumns>
  <tableStyleInfo name="TableStyleMedium2" showFirstColumn="1" showLastColumn="0" showRowStripes="1" showColumnStripes="0"/>
</table>
</file>

<file path=xl/tables/table1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3EE7DDB2-4E0F-9D4A-8EF9-636AD1816D90}" name="Table_S3.2.b_Share_of_females_in_households_with_adequate_housing_Percentage_disaggregation_b" displayName="Table_S3.2.b_Share_of_females_in_households_with_adequate_housing_Percentage_disaggregation_b" ref="G10:N15" totalsRowShown="0" headerRowDxfId="640" dataDxfId="639">
  <autoFilter ref="G10:N15" xr:uid="{3EE7DDB2-4E0F-9D4A-8EF9-636AD1816D90}"/>
  <tableColumns count="8">
    <tableColumn id="1" xr3:uid="{DBEBC82A-76CD-A347-9D8A-5C596F3D91A2}" name="Region" dataDxfId="638"/>
    <tableColumn id="2" xr3:uid="{D73D7C20-080E-3845-99FD-1301FA2C9F13}" name="No difficulty" dataDxfId="637"/>
    <tableColumn id="3" xr3:uid="{21FD95F3-FAA5-B64D-9E83-21C9750FA94B}" name="Some difficulty" dataDxfId="636"/>
    <tableColumn id="4" xr3:uid="{F306AF31-4186-1B46-BEFE-AC803F06ECFD}" name="Difference" dataDxfId="635"/>
    <tableColumn id="5" xr3:uid="{5BB14EFB-12EA-F24C-BBC0-B3BDE25A550E}" name="Statistical Significance of the Difference" dataDxfId="634"/>
    <tableColumn id="6" xr3:uid="{BB3D514E-867C-114D-A937-49ADF77FE49C}" name="At least a lot of difficulty" dataDxfId="633"/>
    <tableColumn id="7" xr3:uid="{853AA9FE-97FE-B240-92DE-24F6D3F51D2E}" name="Difference No difficulty &amp; At least a lot of difficulty" dataDxfId="632"/>
    <tableColumn id="8" xr3:uid="{AD8DBD44-ECA5-EE44-99A1-7CA0994EA28A}" name="Statistical Significance of the Difference (No difficulty vs At least a lot)" dataDxfId="631"/>
  </tableColumns>
  <tableStyleInfo name="TableStyleMedium2"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404C38-F162-C849-AB21-AD637E9BE652}" name="Table_P1.1_Share_of_all_adults_with_functional_difficulties_Percentage" displayName="Table_P1.1_Share_of_all_adults_with_functional_difficulties_Percentage" ref="A2:D7" totalsRowShown="0" headerRowDxfId="2222" dataDxfId="2221">
  <autoFilter ref="A2:D7" xr:uid="{BC404C38-F162-C849-AB21-AD637E9BE652}"/>
  <tableColumns count="4">
    <tableColumn id="1" xr3:uid="{197CB124-029B-844F-A0DB-F7E725B6958B}" name="Region" dataDxfId="2220"/>
    <tableColumn id="2" xr3:uid="{6EAF7C91-7450-954E-B9D2-2991CE9F7F1F}" name="Any difficulty" dataDxfId="2219"/>
    <tableColumn id="3" xr3:uid="{368DEDDE-9A28-7449-B2EA-6A2CC1E0210F}" name="Some difficulty" dataDxfId="2218"/>
    <tableColumn id="4" xr3:uid="{19A25CE4-2ED9-0343-A38A-AD36CE48A7C7}" name="At least a lot of difficulty" dataDxfId="2217"/>
  </tableColumns>
  <tableStyleInfo name="TableStyleMedium2" showFirstColumn="1"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65E645B-4AFD-EC43-8AF1-BFAFDFAE18EE}" name="Table_H2_Share_of_all_adults_in_households_using_safely_managed_sanitation_services_Percentage_by_functional_difficulty_type" displayName="Table_H2_Share_of_all_adults_in_households_using_safely_managed_sanitation_services_Percentage_by_functional_difficulty_type" ref="A42:H47" totalsRowShown="0" headerRowDxfId="2085" dataDxfId="2084">
  <autoFilter ref="A42:H47" xr:uid="{865E645B-4AFD-EC43-8AF1-BFAFDFAE18EE}"/>
  <tableColumns count="8">
    <tableColumn id="1" xr3:uid="{EF2B49CC-4EF0-4845-BECB-35C2676644C2}" name="Region" dataDxfId="2083"/>
    <tableColumn id="2" xr3:uid="{5104EDC8-62CF-194E-8C81-8A81A7737DE0}" name="No Difficulty" dataDxfId="2082"/>
    <tableColumn id="3" xr3:uid="{F35A8134-4AEF-D440-984F-0D8E510FBE2C}" name="Seeing" dataDxfId="2081"/>
    <tableColumn id="4" xr3:uid="{833BA9B4-1E3F-B148-A4FD-D47649AF13CD}" name="Hearing" dataDxfId="2080"/>
    <tableColumn id="5" xr3:uid="{1F7AB7C5-9A4E-EB4B-B1E8-BA01405839AA}" name="Mobility" dataDxfId="2079"/>
    <tableColumn id="6" xr3:uid="{D55E8B67-5A31-E64B-B365-4E35EE85913B}" name="Cognition" dataDxfId="2078"/>
    <tableColumn id="7" xr3:uid="{3DE93EB4-EA19-4643-AC25-05D8E00B2E8C}" name="Self-Care" dataDxfId="2077"/>
    <tableColumn id="8" xr3:uid="{F5A79FC3-BDB6-BB4F-8D6A-54FF1DBADF2C}" name="Communication" dataDxfId="2076"/>
  </tableColumns>
  <tableStyleInfo name="TableStyleMedium2" showFirstColumn="1" showLastColumn="0" showRowStripes="1" showColumnStripes="0"/>
</table>
</file>

<file path=xl/tables/table2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4775CF9C-5819-E14C-9093-EAAB7C66A87A}" name="Table_S3.2.c_Share_of_females_in_households_with_adequate_housing_Percentage_disaggregation_c" displayName="Table_S3.2.c_Share_of_females_in_households_with_adequate_housing_Percentage_disaggregation_c" ref="P10:T15" totalsRowShown="0" headerRowDxfId="630" dataDxfId="629">
  <autoFilter ref="P10:T15" xr:uid="{4775CF9C-5819-E14C-9093-EAAB7C66A87A}"/>
  <tableColumns count="5">
    <tableColumn id="1" xr3:uid="{A53BDDC0-4B93-D843-A3A0-238431FC05A4}" name="Region" dataDxfId="628"/>
    <tableColumn id="2" xr3:uid="{3E787216-373E-0046-A654-4D0882CCBBEE}" name="No or some difficulty" dataDxfId="627"/>
    <tableColumn id="3" xr3:uid="{A173199F-74C3-3A47-8CCC-9F950BC5F190}" name="At least a lot of difficulty" dataDxfId="626"/>
    <tableColumn id="4" xr3:uid="{A28040B3-7018-B24C-A1B7-50EAE4649A50}" name="Difference" dataDxfId="625"/>
    <tableColumn id="5" xr3:uid="{D3C5DDBC-E33D-274F-A28D-084C0513343A}" name="Statistical Significance of the Difference" dataDxfId="624"/>
  </tableColumns>
  <tableStyleInfo name="TableStyleMedium2" showFirstColumn="1" showLastColumn="0" showRowStripes="1" showColumnStripes="0"/>
</table>
</file>

<file path=xl/tables/table2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3404786-583C-6A45-8D66-80026C7D6BCE}" name="Table_S3.3.a_Share_of_males_in_households_with_adequate_housing_Percentage_disaggregation_a" displayName="Table_S3.3.a_Share_of_males_in_households_with_adequate_housing_Percentage_disaggregation_a" ref="A18:E23" totalsRowShown="0" headerRowDxfId="623" dataDxfId="622">
  <autoFilter ref="A18:E23" xr:uid="{03404786-583C-6A45-8D66-80026C7D6BCE}"/>
  <tableColumns count="5">
    <tableColumn id="1" xr3:uid="{AA4720CC-A363-8042-8A42-C1E10D7DCCC8}" name="Region" dataDxfId="621"/>
    <tableColumn id="2" xr3:uid="{F6670246-DE6B-1844-B7F1-0ED83B741A88}" name="No difficulty" dataDxfId="620"/>
    <tableColumn id="3" xr3:uid="{C1967714-7AD1-8746-A1F9-33A862B81AEE}" name="Any difficulty" dataDxfId="619"/>
    <tableColumn id="4" xr3:uid="{2FEEED84-1D13-FC47-A4D8-991CA0B6597D}" name="Difference" dataDxfId="618"/>
    <tableColumn id="5" xr3:uid="{5FBBB67B-FECC-6F41-9EC4-01496E9B56AD}" name="Statistical Significance of the Difference" dataDxfId="617"/>
  </tableColumns>
  <tableStyleInfo name="TableStyleMedium2" showFirstColumn="1" showLastColumn="0" showRowStripes="1" showColumnStripes="0"/>
</table>
</file>

<file path=xl/tables/table2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AF8E1673-B5FA-5143-9A57-7B0B5B8377C1}" name="Table_S3.3.b_Share_of_males_in_households_with_adequate_housing_Percentage_disaggregation_b" displayName="Table_S3.3.b_Share_of_males_in_households_with_adequate_housing_Percentage_disaggregation_b" ref="G18:N23" totalsRowShown="0" headerRowDxfId="616" dataDxfId="615">
  <autoFilter ref="G18:N23" xr:uid="{AF8E1673-B5FA-5143-9A57-7B0B5B8377C1}"/>
  <tableColumns count="8">
    <tableColumn id="1" xr3:uid="{02CB0864-CDDF-4443-9AEA-74E7284C4F7E}" name="Region" dataDxfId="614"/>
    <tableColumn id="2" xr3:uid="{B22E2483-DDD7-8846-92C1-48E99BD6CF82}" name="No difficulty" dataDxfId="613"/>
    <tableColumn id="3" xr3:uid="{7E1CCE0F-1200-534F-A1B5-A33375A9533E}" name="Some difficulty" dataDxfId="612"/>
    <tableColumn id="4" xr3:uid="{796C822B-9B55-594B-88A9-F8458A3B77DE}" name="Difference" dataDxfId="611"/>
    <tableColumn id="5" xr3:uid="{AD7931E7-1F15-F74A-B2A8-ED0FA17FD798}" name="Statistical Significance of the Difference" dataDxfId="610"/>
    <tableColumn id="6" xr3:uid="{6A6EE944-5D49-8749-BFE8-014FB84DEFBA}" name="At least a lot of difficulty" dataDxfId="609"/>
    <tableColumn id="7" xr3:uid="{1FD78FC7-B477-074D-9B7E-B582E6604B65}" name="Difference No difficulty &amp; At least a lot of difficulty" dataDxfId="608"/>
    <tableColumn id="8" xr3:uid="{431EEDF8-6525-B14E-B39C-E31CFCF479B5}" name="Statistical Significance of the Difference (No difficulty vs At least a lot)" dataDxfId="607"/>
  </tableColumns>
  <tableStyleInfo name="TableStyleMedium2" showFirstColumn="1" showLastColumn="0" showRowStripes="1" showColumnStripes="0"/>
</table>
</file>

<file path=xl/tables/table2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826A7AF5-906A-2649-A73C-50D27475E76A}" name="Table_S3.3.c_Share_of_males_in_households_with_adequate_housing_Percentage_disaggregation_c" displayName="Table_S3.3.c_Share_of_males_in_households_with_adequate_housing_Percentage_disaggregation_c" ref="P18:T23" totalsRowShown="0" headerRowDxfId="606" dataDxfId="605">
  <autoFilter ref="P18:T23" xr:uid="{826A7AF5-906A-2649-A73C-50D27475E76A}"/>
  <tableColumns count="5">
    <tableColumn id="1" xr3:uid="{13DC5E95-D876-1348-81A3-5AF4262870A4}" name="Region" dataDxfId="604"/>
    <tableColumn id="2" xr3:uid="{477F2C67-9ABF-6F4E-B58C-F6D0D3ABB7AE}" name="No or some difficulty" dataDxfId="603"/>
    <tableColumn id="3" xr3:uid="{E462DFF1-824A-964E-9A87-984E6942CD0D}" name="At least a lot of difficulty" dataDxfId="602"/>
    <tableColumn id="4" xr3:uid="{23D24F1F-171F-B14A-A2E1-1230870AFEE3}" name="Difference" dataDxfId="601"/>
    <tableColumn id="5" xr3:uid="{886C7846-87BB-E34E-A699-2F1C079D44AC}" name="Statistical Significance of the Difference" dataDxfId="600"/>
  </tableColumns>
  <tableStyleInfo name="TableStyleMedium2" showFirstColumn="1" showLastColumn="0" showRowStripes="1" showColumnStripes="0"/>
</table>
</file>

<file path=xl/tables/table2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44B19ED9-10F1-3344-A726-0CF748C9C6D6}" name="Table_S3.4.a_Share_of_rural_residents_in_households_with_adequate_housing_Percentage_disaggregation_a" displayName="Table_S3.4.a_Share_of_rural_residents_in_households_with_adequate_housing_Percentage_disaggregation_a" ref="A26:E31" totalsRowShown="0" headerRowDxfId="599" dataDxfId="598">
  <autoFilter ref="A26:E31" xr:uid="{44B19ED9-10F1-3344-A726-0CF748C9C6D6}"/>
  <tableColumns count="5">
    <tableColumn id="1" xr3:uid="{CDE9115D-FE2D-7943-AC79-776C451FAD5C}" name="Region" dataDxfId="597"/>
    <tableColumn id="2" xr3:uid="{84DE26F7-54AE-5C46-9887-593D51A1C41A}" name="No difficulty" dataDxfId="596"/>
    <tableColumn id="3" xr3:uid="{84DCDDE5-AC63-C142-A91B-F060AB56550D}" name="Any difficulty" dataDxfId="595"/>
    <tableColumn id="4" xr3:uid="{E1F53E07-CFBF-4D45-9447-0A32F3AC94AA}" name="Difference" dataDxfId="594"/>
    <tableColumn id="5" xr3:uid="{E6F5FF5A-D622-7F4D-8F2E-C10980A62C85}" name="Statistical Significance of the Difference" dataDxfId="593"/>
  </tableColumns>
  <tableStyleInfo name="TableStyleMedium2" showFirstColumn="1" showLastColumn="0" showRowStripes="1" showColumnStripes="0"/>
</table>
</file>

<file path=xl/tables/table2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A5C3A472-740E-2046-ABB9-14D80F62DC96}" name="Table_S3.4.b_Share_of_rural_residents_in_households_with_adequate_housing_Percentage_disaggregation_b" displayName="Table_S3.4.b_Share_of_rural_residents_in_households_with_adequate_housing_Percentage_disaggregation_b" ref="G26:N31" totalsRowShown="0" headerRowDxfId="592" dataDxfId="591">
  <autoFilter ref="G26:N31" xr:uid="{A5C3A472-740E-2046-ABB9-14D80F62DC96}"/>
  <tableColumns count="8">
    <tableColumn id="1" xr3:uid="{6E29AA93-F14B-004F-8259-24C8047FFCC4}" name="Region" dataDxfId="590"/>
    <tableColumn id="2" xr3:uid="{56758F53-022A-954A-9C46-5CB093E3A2BA}" name="No difficulty" dataDxfId="589"/>
    <tableColumn id="3" xr3:uid="{C6D5CFED-990C-A044-9BF0-EC47A7F242CA}" name="Some difficulty" dataDxfId="588"/>
    <tableColumn id="4" xr3:uid="{08F2FB58-094E-0A4B-A30A-98B5C0A0086D}" name="Difference" dataDxfId="587"/>
    <tableColumn id="5" xr3:uid="{BC5BE24B-11D7-FA4D-878E-6B12F112B802}" name="Statistical Significance of the Difference" dataDxfId="586"/>
    <tableColumn id="6" xr3:uid="{BCA5D356-CA4E-7D46-A321-32A4446DAE48}" name="At least a lot of difficulty" dataDxfId="585"/>
    <tableColumn id="7" xr3:uid="{633AE320-E33C-7D4E-B4FC-3AE1947C061E}" name="Difference No difficulty &amp; At least a lot of difficulty" dataDxfId="584"/>
    <tableColumn id="8" xr3:uid="{90515C62-0FBB-0449-813A-DAE5FACCAD45}" name="Statistical Significance of the Difference (No difficulty vs At least a lot)" dataDxfId="583"/>
  </tableColumns>
  <tableStyleInfo name="TableStyleMedium2" showFirstColumn="1" showLastColumn="0" showRowStripes="1" showColumnStripes="0"/>
</table>
</file>

<file path=xl/tables/table2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18FA5722-F69E-4C45-A54D-C772F55D5AB0}" name="Table_S3.4.c_Share_of_rural_residents_in_households_with_adequate_housing_Percentage_disaggregation_c" displayName="Table_S3.4.c_Share_of_rural_residents_in_households_with_adequate_housing_Percentage_disaggregation_c" ref="P26:T31" totalsRowShown="0" headerRowDxfId="582" dataDxfId="581">
  <autoFilter ref="P26:T31" xr:uid="{18FA5722-F69E-4C45-A54D-C772F55D5AB0}"/>
  <tableColumns count="5">
    <tableColumn id="1" xr3:uid="{A3998ADF-944A-E443-B69C-AAAD2C325979}" name="Region" dataDxfId="580"/>
    <tableColumn id="2" xr3:uid="{BF3454BA-CB24-174D-BE7C-F49AED5C419B}" name="No or some difficulty" dataDxfId="579"/>
    <tableColumn id="3" xr3:uid="{3B093723-5FC5-B143-9695-B653C2CBF6D8}" name="At least a lot of difficulty" dataDxfId="578"/>
    <tableColumn id="4" xr3:uid="{EB0D2EB9-3707-9C4C-92D0-D434FE1D295E}" name="Difference" dataDxfId="577"/>
    <tableColumn id="5" xr3:uid="{464DB573-19BE-0B42-9A2A-B88B6F07A8AF}" name="Statistical Significance of the Difference" dataDxfId="576"/>
  </tableColumns>
  <tableStyleInfo name="TableStyleMedium2" showFirstColumn="1" showLastColumn="0" showRowStripes="1" showColumnStripes="0"/>
</table>
</file>

<file path=xl/tables/table2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E178385A-8BBC-214A-AF66-906968DC39ED}" name="Table_S3.5.a_Share_of_urban_residents_in_households_with_adequate_housing_Percentage_disaggregation_a" displayName="Table_S3.5.a_Share_of_urban_residents_in_households_with_adequate_housing_Percentage_disaggregation_a" ref="A34:E39" totalsRowShown="0" headerRowDxfId="575" dataDxfId="574">
  <autoFilter ref="A34:E39" xr:uid="{E178385A-8BBC-214A-AF66-906968DC39ED}"/>
  <tableColumns count="5">
    <tableColumn id="1" xr3:uid="{06A4DDFA-22AC-2449-904A-94837228EFB7}" name="Region" dataDxfId="573"/>
    <tableColumn id="2" xr3:uid="{CB665D0B-EFB8-DA49-90F7-C230971FF787}" name="No difficulty" dataDxfId="572"/>
    <tableColumn id="3" xr3:uid="{8DAA57DE-0E6B-7243-BA06-7FEA5E697F76}" name="Any difficulty" dataDxfId="571"/>
    <tableColumn id="4" xr3:uid="{398249EF-0366-874B-BE0B-7E0261D07D9B}" name="Difference" dataDxfId="570"/>
    <tableColumn id="5" xr3:uid="{98686BD2-1C23-5E4E-A029-B2AAEB70B264}" name="Statistical Significance of the Difference" dataDxfId="569"/>
  </tableColumns>
  <tableStyleInfo name="TableStyleMedium2" showFirstColumn="1" showLastColumn="0" showRowStripes="1" showColumnStripes="0"/>
</table>
</file>

<file path=xl/tables/table2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8C189ED3-89D8-464B-8E0D-08A538EBD84E}" name="Table_S3.5.b_Share_of_urban_residents_in_households_with_adequate_housing_Percentage_disaggregation_b" displayName="Table_S3.5.b_Share_of_urban_residents_in_households_with_adequate_housing_Percentage_disaggregation_b" ref="G34:N39" totalsRowShown="0" headerRowDxfId="568" dataDxfId="567">
  <autoFilter ref="G34:N39" xr:uid="{8C189ED3-89D8-464B-8E0D-08A538EBD84E}"/>
  <tableColumns count="8">
    <tableColumn id="1" xr3:uid="{35FF83FE-EE63-184C-BAC1-818635E49176}" name="Region" dataDxfId="566"/>
    <tableColumn id="2" xr3:uid="{D8157DE5-D75E-C744-84E3-58670BAA48DD}" name="No difficulty" dataDxfId="565"/>
    <tableColumn id="3" xr3:uid="{7C7BA4F4-C949-FD4D-8BCF-1B64C34CEAE9}" name="Some difficulty" dataDxfId="564"/>
    <tableColumn id="4" xr3:uid="{33ECA0DE-876C-E644-BE88-2F98622F9C30}" name="Difference" dataDxfId="563"/>
    <tableColumn id="5" xr3:uid="{CDFB31E7-277B-7943-8744-3A3D13CDA16B}" name="Statistical Significance of the Difference" dataDxfId="562"/>
    <tableColumn id="6" xr3:uid="{FB4B225D-FDB6-A542-ABEB-F7A2D937EA67}" name="At least a lot of difficulty" dataDxfId="561"/>
    <tableColumn id="7" xr3:uid="{A9E9D2D9-C552-0841-9E18-AA9CC3F4E558}" name="Difference No difficulty &amp; At least a lot of difficulty" dataDxfId="560"/>
    <tableColumn id="8" xr3:uid="{27BA5273-2D08-2A44-8D1E-7BC4BC4888B7}" name="Statistical Significance of the Difference (No difficulty vs At least a lot)" dataDxfId="559"/>
  </tableColumns>
  <tableStyleInfo name="TableStyleMedium2" showFirstColumn="1" showLastColumn="0" showRowStripes="1" showColumnStripes="0"/>
</table>
</file>

<file path=xl/tables/table2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32D1BB30-978E-AB4D-881F-A385B9EA94D6}" name="Table_S3.5.c_Share_of_urban_residents_in_households_with_adequate_housing_Percentage_disaggregation_c" displayName="Table_S3.5.c_Share_of_urban_residents_in_households_with_adequate_housing_Percentage_disaggregation_c" ref="P34:T39" totalsRowShown="0" headerRowDxfId="558" dataDxfId="557">
  <autoFilter ref="P34:T39" xr:uid="{32D1BB30-978E-AB4D-881F-A385B9EA94D6}"/>
  <tableColumns count="5">
    <tableColumn id="1" xr3:uid="{1951DB4D-2B16-DA44-8FB8-80D04CFEB938}" name="Region" dataDxfId="556"/>
    <tableColumn id="2" xr3:uid="{592A0AB7-6976-5A45-8655-03481C4AF800}" name="No or some difficulty" dataDxfId="555"/>
    <tableColumn id="3" xr3:uid="{D98C140C-C7EF-934E-B9E4-147AFF2E870D}" name="At least a lot of difficulty" dataDxfId="554"/>
    <tableColumn id="4" xr3:uid="{5DB00D57-26B0-7B4F-8E07-5F55D432CF49}" name="Difference" dataDxfId="553"/>
    <tableColumn id="5" xr3:uid="{A2723517-A7A7-1A49-BA80-7B32E061547B}" name="Statistical Significance of the Difference" dataDxfId="552"/>
  </tableColumns>
  <tableStyleInfo name="TableStyleMedium2" showFirstColumn="1"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4B68FBF-5B45-AF43-8ADF-A85D698E2768}" name="Table_S1_Share_of_all_adults_in_households_with_electricity_Percentage_by_functional_difficulty_type" displayName="Table_S1_Share_of_all_adults_in_households_with_electricity_Percentage_by_functional_difficulty_type" ref="A50:H55" totalsRowShown="0" headerRowDxfId="2075" dataDxfId="2074">
  <autoFilter ref="A50:H55" xr:uid="{84B68FBF-5B45-AF43-8ADF-A85D698E2768}"/>
  <tableColumns count="8">
    <tableColumn id="1" xr3:uid="{BE65E7D3-FDC4-7944-8406-59C12378167C}" name="Region" dataDxfId="2073"/>
    <tableColumn id="2" xr3:uid="{716EB869-72BA-554B-83DB-E252C54BA0D6}" name="No Difficulty" dataDxfId="2072"/>
    <tableColumn id="3" xr3:uid="{53FE4E9E-4C88-2A4D-8219-63ADB1097DA8}" name="Seeing" dataDxfId="2071"/>
    <tableColumn id="4" xr3:uid="{F9BF76F8-779E-F242-A6E4-A3611C6047A1}" name="Hearing" dataDxfId="2070"/>
    <tableColumn id="5" xr3:uid="{D6811D95-791B-8541-A08F-9ADFA868807A}" name="Mobility" dataDxfId="2069"/>
    <tableColumn id="6" xr3:uid="{30B5EFC4-824D-E84D-995A-3706E7D10892}" name="Cognition" dataDxfId="2068"/>
    <tableColumn id="7" xr3:uid="{A0D622C1-FEFC-9D47-B374-BF4EC90898B0}" name="Self-Care" dataDxfId="2067"/>
    <tableColumn id="8" xr3:uid="{FF9051CB-77CB-7744-A56C-2B711D4A1487}" name="Communication" dataDxfId="2066"/>
  </tableColumns>
  <tableStyleInfo name="TableStyleMedium2" showFirstColumn="1" showLastColumn="0" showRowStripes="1"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C55D5527-FE51-9946-A618-E90FBD2631C9}" name="Table_S3.6.a_Share_of_adults_age_15_to_44__in_households_with_adequate_housing_Percentage_disaggregation_a" displayName="Table_S3.6.a_Share_of_adults_age_15_to_44__in_households_with_adequate_housing_Percentage_disaggregation_a" ref="A42:E47" totalsRowShown="0" headerRowDxfId="551" dataDxfId="550">
  <autoFilter ref="A42:E47" xr:uid="{C55D5527-FE51-9946-A618-E90FBD2631C9}"/>
  <tableColumns count="5">
    <tableColumn id="1" xr3:uid="{0BB1344E-5BB6-3A4E-B5A0-E2DC8A150C97}" name="Region" dataDxfId="549"/>
    <tableColumn id="2" xr3:uid="{BF49D8EC-5376-6A4B-8639-30388A8B1F00}" name="No difficulty" dataDxfId="548"/>
    <tableColumn id="3" xr3:uid="{0097B5EA-4969-5048-9D87-AFA608DA1365}" name="Any difficulty" dataDxfId="547"/>
    <tableColumn id="4" xr3:uid="{E8EAB79B-B055-0C48-A1F9-AF5CFDF1CB0E}" name="Difference" dataDxfId="546"/>
    <tableColumn id="5" xr3:uid="{F960C45E-88F7-394E-8BCD-6895B4F117CC}" name="Statistical Significance of the Difference" dataDxfId="545"/>
  </tableColumns>
  <tableStyleInfo name="TableStyleMedium2" showFirstColumn="1" showLastColumn="0" showRowStripes="1" showColumnStripes="0"/>
</table>
</file>

<file path=xl/tables/table2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3F42C501-0514-2546-9594-5443A06721BC}" name="Table_S3.6.b_Share_of_adults_age_15_to_44__in_households_with_adequate_housing_Percentage_disaggregation_b" displayName="Table_S3.6.b_Share_of_adults_age_15_to_44__in_households_with_adequate_housing_Percentage_disaggregation_b" ref="G42:N47" totalsRowShown="0" headerRowDxfId="544" dataDxfId="543">
  <autoFilter ref="G42:N47" xr:uid="{3F42C501-0514-2546-9594-5443A06721BC}"/>
  <tableColumns count="8">
    <tableColumn id="1" xr3:uid="{290908C4-19C9-B444-AC5C-8B6B10962DBF}" name="Region" dataDxfId="542"/>
    <tableColumn id="2" xr3:uid="{3573EA6A-CF5E-0345-BBB2-92A68D3C81B1}" name="No difficulty" dataDxfId="541"/>
    <tableColumn id="3" xr3:uid="{7BD45E0A-A20D-DD43-8026-08389301CD3D}" name="Some difficulty" dataDxfId="540"/>
    <tableColumn id="4" xr3:uid="{3290FCBB-5436-374B-AC65-E9C488B4A096}" name="Difference" dataDxfId="539"/>
    <tableColumn id="5" xr3:uid="{B9874D1C-DAB6-2648-AED7-8338F02F7615}" name="Statistical Significance of the Difference" dataDxfId="538"/>
    <tableColumn id="6" xr3:uid="{1059D286-613E-EF48-AE61-D82FFDBAE969}" name="At least a lot of difficulty" dataDxfId="537"/>
    <tableColumn id="7" xr3:uid="{D8A7734E-AE77-FD4D-9DB5-940908C36447}" name="Difference No difficulty &amp; At least a lot of difficulty" dataDxfId="536"/>
    <tableColumn id="8" xr3:uid="{64C43EDC-1C79-D244-8AED-EE051AF0620E}" name="Statistical Significance of the Difference (No difficulty vs At least a lot)" dataDxfId="535"/>
  </tableColumns>
  <tableStyleInfo name="TableStyleMedium2" showFirstColumn="1" showLastColumn="0" showRowStripes="1" showColumnStripes="0"/>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347B9C12-C000-4143-8C02-244A87DF9954}" name="Table_S3.6.c_Share_of_adults_age_15_to_44__in_households_with_adequate_housing_Percentage_disaggregation_c" displayName="Table_S3.6.c_Share_of_adults_age_15_to_44__in_households_with_adequate_housing_Percentage_disaggregation_c" ref="P42:T47" totalsRowShown="0" headerRowDxfId="534" dataDxfId="533">
  <autoFilter ref="P42:T47" xr:uid="{347B9C12-C000-4143-8C02-244A87DF9954}"/>
  <tableColumns count="5">
    <tableColumn id="1" xr3:uid="{FD08F9AD-A52B-9844-AA9C-36322C15BAD8}" name="Region" dataDxfId="532"/>
    <tableColumn id="2" xr3:uid="{ADC3FF62-19CB-D94B-AD36-D5862FE483A3}" name="No or some difficulty" dataDxfId="531"/>
    <tableColumn id="3" xr3:uid="{60383606-E9D0-B145-BF4A-FF78CB89E70D}" name="At least a lot of difficulty" dataDxfId="530"/>
    <tableColumn id="4" xr3:uid="{079D9AB3-9FA4-6342-9C01-E2B499E8E473}" name="Difference" dataDxfId="529"/>
    <tableColumn id="5" xr3:uid="{D5932519-9CF5-2641-8C19-EC3072747F3A}" name="Statistical Significance of the Difference" dataDxfId="528"/>
  </tableColumns>
  <tableStyleInfo name="TableStyleMedium2" showFirstColumn="1"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77AC4F89-B364-224D-917F-5188619659DE}" name="Table_S3.7.a_Share_of_adults_age_45_and_older_in_households_with_adequate_housing_Percentage_disaggregation_a" displayName="Table_S3.7.a_Share_of_adults_age_45_and_older_in_households_with_adequate_housing_Percentage_disaggregation_a" ref="A50:E55" totalsRowShown="0" headerRowDxfId="527" dataDxfId="526">
  <autoFilter ref="A50:E55" xr:uid="{77AC4F89-B364-224D-917F-5188619659DE}"/>
  <tableColumns count="5">
    <tableColumn id="1" xr3:uid="{1AC55EDF-F81F-2144-B865-1197D6B76B1E}" name="Region" dataDxfId="525"/>
    <tableColumn id="2" xr3:uid="{75874A9E-0C9A-2E4D-A481-61C137E08D3B}" name="No difficulty" dataDxfId="524"/>
    <tableColumn id="3" xr3:uid="{5EB7DAE7-8237-8C4F-8676-2CFE250AA82E}" name="Any difficulty" dataDxfId="523"/>
    <tableColumn id="4" xr3:uid="{AE5E962F-0321-3345-85B3-62E4EAD230EB}" name="Difference" dataDxfId="522"/>
    <tableColumn id="5" xr3:uid="{3BAEF69C-9E36-4348-92D8-246DB583CD25}" name="Statistical Significance of the Difference" dataDxfId="521"/>
  </tableColumns>
  <tableStyleInfo name="TableStyleMedium2" showFirstColumn="1" showLastColumn="0" showRowStripes="1" showColumnStripes="0"/>
</table>
</file>

<file path=xl/tables/table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4803DC2A-AB94-AE46-B59B-E09D7AA25328}" name="Table_S3.7.b_Share_of_adults_age_45_and_older_in_households_with_adequate_housing_Percentage_disaggregation_b" displayName="Table_S3.7.b_Share_of_adults_age_45_and_older_in_households_with_adequate_housing_Percentage_disaggregation_b" ref="G50:N55" totalsRowShown="0" headerRowDxfId="520" dataDxfId="519">
  <autoFilter ref="G50:N55" xr:uid="{4803DC2A-AB94-AE46-B59B-E09D7AA25328}"/>
  <tableColumns count="8">
    <tableColumn id="1" xr3:uid="{3C9A5804-5D82-9D42-8ECA-A75B58D98773}" name="Region" dataDxfId="518"/>
    <tableColumn id="2" xr3:uid="{3BECB2E4-BE82-C847-8C85-31F8D200FC20}" name="No difficulty" dataDxfId="517"/>
    <tableColumn id="3" xr3:uid="{1523EF9E-ECEC-6F45-9796-E3F4C485B557}" name="Some difficulty" dataDxfId="516"/>
    <tableColumn id="4" xr3:uid="{10BB25AB-E2BA-6D43-963E-F887F69D4E56}" name="Difference" dataDxfId="515"/>
    <tableColumn id="5" xr3:uid="{55DAE789-D05C-D44B-953B-122851F3C45D}" name="Statistical Significance of the Difference" dataDxfId="514"/>
    <tableColumn id="6" xr3:uid="{F0480A27-9A83-D241-A7C5-4B5837603E6F}" name="At least a lot of difficulty" dataDxfId="513"/>
    <tableColumn id="7" xr3:uid="{DE1BF3CA-902A-4E4E-85BC-787113756B70}" name="Difference No difficulty &amp; At least a lot of difficulty" dataDxfId="512"/>
    <tableColumn id="8" xr3:uid="{70DB4F26-D44C-C04F-850D-06A8B2E2692A}" name="Statistical Significance of the Difference (No difficulty vs At least a lot)" dataDxfId="511"/>
  </tableColumns>
  <tableStyleInfo name="TableStyleMedium2" showFirstColumn="1" showLastColumn="0" showRowStripes="1" showColumnStripes="0"/>
</table>
</file>

<file path=xl/tables/table2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CF66E032-F283-1545-8244-BF2F4F4B654E}" name="Table_S3.7.c_Share_of_adults_age_45_and_older_in_households_with_adequate_housing_Percentage_disaggregation_c" displayName="Table_S3.7.c_Share_of_adults_age_45_and_older_in_households_with_adequate_housing_Percentage_disaggregation_c" ref="P50:T55" totalsRowShown="0" headerRowDxfId="510" dataDxfId="509">
  <autoFilter ref="P50:T55" xr:uid="{CF66E032-F283-1545-8244-BF2F4F4B654E}"/>
  <tableColumns count="5">
    <tableColumn id="1" xr3:uid="{4331601D-2976-5E40-A137-85E81A90FA26}" name="Region" dataDxfId="508"/>
    <tableColumn id="2" xr3:uid="{2724A8A0-C15E-BC40-9F13-9CFC4C44F7AC}" name="No or some difficulty" dataDxfId="507"/>
    <tableColumn id="3" xr3:uid="{EF2B6D11-F5E0-3043-9144-10B9819692B8}" name="At least a lot of difficulty" dataDxfId="506"/>
    <tableColumn id="4" xr3:uid="{91D012B6-8282-1E47-90E6-3AB356B237E1}" name="Difference" dataDxfId="505"/>
    <tableColumn id="5" xr3:uid="{700CF54A-F8FF-3D43-9D3E-55C4892C3CEC}" name="Statistical Significance of the Difference" dataDxfId="504"/>
  </tableColumns>
  <tableStyleInfo name="TableStyleMedium2" showFirstColumn="1" showLastColumn="0" showRowStripes="1" showColumnStripes="0"/>
</table>
</file>

<file path=xl/tables/table2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581CCE0B-FCEB-6F47-9031-17AE09B99E42}" name="Table_S4.1.a_Share_of_all_adults_in_households_owning_assets_Percentage_disaggregation_a" displayName="Table_S4.1.a_Share_of_all_adults_in_households_owning_assets_Percentage_disaggregation_a" ref="A2:E7" totalsRowShown="0" headerRowDxfId="503" dataDxfId="502">
  <autoFilter ref="A2:E7" xr:uid="{581CCE0B-FCEB-6F47-9031-17AE09B99E42}"/>
  <tableColumns count="5">
    <tableColumn id="1" xr3:uid="{6555954B-19AB-4B4E-8582-085148EB98E9}" name="Region" dataDxfId="501"/>
    <tableColumn id="2" xr3:uid="{841FA23D-45D3-C346-BFA2-572068AEAC03}" name="No difficulty" dataDxfId="500"/>
    <tableColumn id="3" xr3:uid="{967A87CC-44C5-3247-8992-E63D9F3DC401}" name="Any difficulty" dataDxfId="499"/>
    <tableColumn id="4" xr3:uid="{25756164-CE91-2440-A9C0-F8369D6F3167}" name="Difference" dataDxfId="498"/>
    <tableColumn id="5" xr3:uid="{EE421457-54E5-4D48-A767-5EDC5EE2DA00}" name="Statistical Significance of the Difference" dataDxfId="497"/>
  </tableColumns>
  <tableStyleInfo name="TableStyleMedium2" showFirstColumn="1" showLastColumn="0" showRowStripes="1" showColumnStripes="0"/>
</table>
</file>

<file path=xl/tables/table2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E04F86AF-10F3-6C4F-AB7D-3EB13DBCF002}" name="Table_S4.1.b_Share_of_all_adults_in_households_owning_assets_Percentage_disaggregation_b" displayName="Table_S4.1.b_Share_of_all_adults_in_households_owning_assets_Percentage_disaggregation_b" ref="G2:N7" totalsRowShown="0" headerRowDxfId="496" dataDxfId="495">
  <autoFilter ref="G2:N7" xr:uid="{E04F86AF-10F3-6C4F-AB7D-3EB13DBCF002}"/>
  <tableColumns count="8">
    <tableColumn id="1" xr3:uid="{803F0026-89AD-0D4A-B1B3-C1522556C3D4}" name="Region" dataDxfId="494"/>
    <tableColumn id="2" xr3:uid="{B4305A0E-C8B1-9846-ABD7-1AE0F8CA38FC}" name="No difficulty" dataDxfId="493"/>
    <tableColumn id="3" xr3:uid="{C7867D87-7EC4-5042-B636-032F410953B9}" name="Some difficulty" dataDxfId="492"/>
    <tableColumn id="4" xr3:uid="{F9ADB332-7790-BD4E-B288-2D1C6691EB9D}" name="Difference" dataDxfId="491"/>
    <tableColumn id="5" xr3:uid="{E4FA22B3-42A5-6343-841B-A09ACA73ADB8}" name="Statistical Significance of the Difference" dataDxfId="490"/>
    <tableColumn id="6" xr3:uid="{526C0A92-3BCF-0946-AD1B-F919C8CE7688}" name="At least a lot of difficulty" dataDxfId="489"/>
    <tableColumn id="7" xr3:uid="{83FB5BD8-C3F7-FA4B-98C8-D2D92E5CAB08}" name="Difference No difficulty &amp; At least a lot of difficulty" dataDxfId="488"/>
    <tableColumn id="8" xr3:uid="{C471729D-D247-AD4D-8952-BE6BDE9AB608}" name="Statistical Significance of the Difference (No difficulty vs At least a lot)" dataDxfId="487"/>
  </tableColumns>
  <tableStyleInfo name="TableStyleMedium2" showFirstColumn="1" showLastColumn="0" showRowStripes="1" showColumnStripes="0"/>
</table>
</file>

<file path=xl/tables/table2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3F588E99-D17D-4C4A-B4B9-C29F596B7335}" name="Table_S4.1.c_Share_of_all_adults_in_households_owning_assets_Percentage_disaggregation_c" displayName="Table_S4.1.c_Share_of_all_adults_in_households_owning_assets_Percentage_disaggregation_c" ref="P2:T7" totalsRowShown="0" headerRowDxfId="486" dataDxfId="485">
  <autoFilter ref="P2:T7" xr:uid="{3F588E99-D17D-4C4A-B4B9-C29F596B7335}"/>
  <tableColumns count="5">
    <tableColumn id="1" xr3:uid="{229A1011-6C20-DD4B-85AA-48791795D15D}" name="Region" dataDxfId="484"/>
    <tableColumn id="2" xr3:uid="{C12BE8E3-23A7-BD4D-8CDB-185C90B53FD9}" name="No or some difficulty" dataDxfId="483"/>
    <tableColumn id="3" xr3:uid="{3FB80AEE-2B94-8346-9C8B-0AAF8026EA7C}" name="At least a lot of difficulty" dataDxfId="482"/>
    <tableColumn id="4" xr3:uid="{3FFEF966-1BFD-7C40-B122-7E2B546D7561}" name="Difference" dataDxfId="481"/>
    <tableColumn id="5" xr3:uid="{C268F12B-4604-8945-9BE9-7E08AABEF12E}" name="Statistical Significance of the Difference" dataDxfId="480"/>
  </tableColumns>
  <tableStyleInfo name="TableStyleMedium2" showFirstColumn="1" showLastColumn="0" showRowStripes="1" showColumnStripes="0"/>
</table>
</file>

<file path=xl/tables/table2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7942C96D-4A98-7E4C-A14E-61FFB2A50400}" name="Table_S4.2.a_Share_of_females_in_households_owning_assets_Percentage_disaggregation_a" displayName="Table_S4.2.a_Share_of_females_in_households_owning_assets_Percentage_disaggregation_a" ref="A10:E15" totalsRowShown="0" headerRowDxfId="479" dataDxfId="478">
  <autoFilter ref="A10:E15" xr:uid="{7942C96D-4A98-7E4C-A14E-61FFB2A50400}"/>
  <tableColumns count="5">
    <tableColumn id="1" xr3:uid="{6427C28A-F67C-2C46-88BF-0A7B04BC21AA}" name="Region" dataDxfId="477"/>
    <tableColumn id="2" xr3:uid="{B2757255-3835-EE4A-8115-A290EC10578C}" name="No difficulty" dataDxfId="476"/>
    <tableColumn id="3" xr3:uid="{08C05D68-E8AC-A945-ACBC-81F17781E430}" name="Any difficulty" dataDxfId="475"/>
    <tableColumn id="4" xr3:uid="{54EFA4D7-C00D-B248-B0FF-47A75368482D}" name="Difference" dataDxfId="474"/>
    <tableColumn id="5" xr3:uid="{DD8A2620-1D92-A54F-9512-FC2DD60DD0BE}" name="Statistical Significance of the Difference" dataDxfId="473"/>
  </tableColumns>
  <tableStyleInfo name="TableStyleMedium2"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A4E5350-9763-5943-B6E6-13C0282B1504}" name="Table_S2_Share_of_all_adults_in_households_with_clean_cooking_fuel_Percentage_by_functional_difficulty_type" displayName="Table_S2_Share_of_all_adults_in_households_with_clean_cooking_fuel_Percentage_by_functional_difficulty_type" ref="A58:H63" totalsRowShown="0" headerRowDxfId="2065" dataDxfId="2064">
  <autoFilter ref="A58:H63" xr:uid="{AA4E5350-9763-5943-B6E6-13C0282B1504}"/>
  <tableColumns count="8">
    <tableColumn id="1" xr3:uid="{31375737-CB8A-2D41-87F1-1405037F9D1B}" name="Region" dataDxfId="2063"/>
    <tableColumn id="2" xr3:uid="{327ED594-9077-8440-9355-83B514255907}" name="No Difficulty" dataDxfId="2062"/>
    <tableColumn id="3" xr3:uid="{DE6C0E43-76EC-734D-9C08-0BAD7D02506C}" name="Seeing" dataDxfId="2061"/>
    <tableColumn id="4" xr3:uid="{FC46678D-6D78-3141-9D44-530B55C502B8}" name="Hearing" dataDxfId="2060"/>
    <tableColumn id="5" xr3:uid="{6FF67750-EC60-9441-8853-D9CAEA2505D9}" name="Mobility" dataDxfId="2059"/>
    <tableColumn id="6" xr3:uid="{D7A8D507-D25B-6740-95B0-C39F8E5945D7}" name="Cognition" dataDxfId="2058"/>
    <tableColumn id="7" xr3:uid="{86BA8DDD-91AB-E743-8727-DD445B81CCD8}" name="Self-Care" dataDxfId="2057"/>
    <tableColumn id="8" xr3:uid="{99839BED-A10D-9A49-887E-9B11D16132A7}" name="Communication" dataDxfId="2056"/>
  </tableColumns>
  <tableStyleInfo name="TableStyleMedium2" showFirstColumn="1" showLastColumn="0" showRowStripes="1" showColumnStripes="0"/>
</table>
</file>

<file path=xl/tables/table2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9" xr:uid="{D856F21D-08F3-F541-B356-9866FDA55A07}" name="Table_S4.2.b_Share_of_females_in_households_owning_assets_Percentage_disaggregation_b" displayName="Table_S4.2.b_Share_of_females_in_households_owning_assets_Percentage_disaggregation_b" ref="G10:N15" totalsRowShown="0" headerRowDxfId="472" dataDxfId="471">
  <autoFilter ref="G10:N15" xr:uid="{D856F21D-08F3-F541-B356-9866FDA55A07}"/>
  <tableColumns count="8">
    <tableColumn id="1" xr3:uid="{ADA5E987-5C38-1C41-BEAD-67FC77A2FABA}" name="Region" dataDxfId="470"/>
    <tableColumn id="2" xr3:uid="{E9990306-2424-6045-9C6E-5E48D80C386F}" name="No difficulty" dataDxfId="469"/>
    <tableColumn id="3" xr3:uid="{670EF1BF-3955-4A48-ACAF-6F4A39B4B20D}" name="Some difficulty" dataDxfId="468"/>
    <tableColumn id="4" xr3:uid="{33402ECE-8606-B04A-AE06-FFCE36CD350F}" name="Difference" dataDxfId="467"/>
    <tableColumn id="5" xr3:uid="{2BE559E1-E225-E740-943F-3C3522B3F7C7}" name="Statistical Significance of the Difference" dataDxfId="466"/>
    <tableColumn id="6" xr3:uid="{8F7E1506-73CD-C74E-8927-E0E4A14F43C0}" name="At least a lot of difficulty" dataDxfId="465"/>
    <tableColumn id="7" xr3:uid="{5262E7CE-B478-9747-BF33-7B89243F61E4}" name="Difference No difficulty &amp; At least a lot of difficulty" dataDxfId="464"/>
    <tableColumn id="8" xr3:uid="{FF331DCB-FE47-3C43-81CC-261713F1410A}" name="Statistical Significance of the Difference (No difficulty vs At least a lot)" dataDxfId="463"/>
  </tableColumns>
  <tableStyleInfo name="TableStyleMedium2" showFirstColumn="1" showLastColumn="0" showRowStripes="1" showColumnStripes="0"/>
</table>
</file>

<file path=xl/tables/table2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0" xr:uid="{FDD725DE-0D13-6743-A944-9D638CE2332A}" name="Table_S4.2.c_Share_of_females_in_households_owning_assets_Percentage_disaggregation_c" displayName="Table_S4.2.c_Share_of_females_in_households_owning_assets_Percentage_disaggregation_c" ref="P10:T15" totalsRowShown="0" headerRowDxfId="462" dataDxfId="461">
  <autoFilter ref="P10:T15" xr:uid="{FDD725DE-0D13-6743-A944-9D638CE2332A}"/>
  <tableColumns count="5">
    <tableColumn id="1" xr3:uid="{575EF2ED-2DF8-B441-BDB7-94C5665ADC75}" name="Region" dataDxfId="460"/>
    <tableColumn id="2" xr3:uid="{79809FAE-3135-BA4B-A505-8F6EC09B9903}" name="No or some difficulty" dataDxfId="459"/>
    <tableColumn id="3" xr3:uid="{221E0077-9C36-5A4F-9149-2D0281DB7C05}" name="At least a lot of difficulty" dataDxfId="458"/>
    <tableColumn id="4" xr3:uid="{DDBAB5DC-053B-A749-A58E-A91DA1BAA010}" name="Difference" dataDxfId="457"/>
    <tableColumn id="5" xr3:uid="{39A4DB4C-2C12-0C4D-BFCF-5376C38629B7}" name="Statistical Significance of the Difference" dataDxfId="456"/>
  </tableColumns>
  <tableStyleInfo name="TableStyleMedium2" showFirstColumn="1" showLastColumn="0" showRowStripes="1" showColumnStripes="0"/>
</table>
</file>

<file path=xl/tables/table2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1" xr:uid="{22F3B926-584A-BB49-A298-471330FDA77F}" name="Table_S4.3.a_Share_of_males_in_households_owning_assets_Percentage_disaggregation_a" displayName="Table_S4.3.a_Share_of_males_in_households_owning_assets_Percentage_disaggregation_a" ref="A18:E23" totalsRowShown="0" headerRowDxfId="455" dataDxfId="454">
  <autoFilter ref="A18:E23" xr:uid="{22F3B926-584A-BB49-A298-471330FDA77F}"/>
  <tableColumns count="5">
    <tableColumn id="1" xr3:uid="{23A75A04-03FD-D645-91DC-40C6BCF1EC58}" name="Region" dataDxfId="453"/>
    <tableColumn id="2" xr3:uid="{43199E00-5360-F34E-85D3-865B97B6C796}" name="No difficulty" dataDxfId="452"/>
    <tableColumn id="3" xr3:uid="{FB01A036-65F5-984E-A593-7434EB2BC9D5}" name="Any difficulty" dataDxfId="451"/>
    <tableColumn id="4" xr3:uid="{322793AF-CA15-3A48-A13E-84D47F9BCCFD}" name="Difference" dataDxfId="450"/>
    <tableColumn id="5" xr3:uid="{E4DDFA35-C636-A44A-AC10-71CC7797501D}" name="Statistical Significance of the Difference" dataDxfId="449"/>
  </tableColumns>
  <tableStyleInfo name="TableStyleMedium2" showFirstColumn="1" showLastColumn="0" showRowStripes="1" showColumnStripes="0"/>
</table>
</file>

<file path=xl/tables/table2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2" xr:uid="{57017C0F-8F04-9646-9ADD-17FAB0D12683}" name="Table_S4.3.b_Share_of_males_in_households_owning_assets_Percentage_disaggregation_b" displayName="Table_S4.3.b_Share_of_males_in_households_owning_assets_Percentage_disaggregation_b" ref="G18:N23" totalsRowShown="0" headerRowDxfId="448" dataDxfId="447">
  <autoFilter ref="G18:N23" xr:uid="{57017C0F-8F04-9646-9ADD-17FAB0D12683}"/>
  <tableColumns count="8">
    <tableColumn id="1" xr3:uid="{89B3F3CE-88F3-8946-BF30-57E3C5C5A981}" name="Region" dataDxfId="446"/>
    <tableColumn id="2" xr3:uid="{5E6169C3-7814-134B-839E-552F03B55EBF}" name="No difficulty" dataDxfId="445"/>
    <tableColumn id="3" xr3:uid="{0D671888-DABC-9B4B-B9CF-946EA823D455}" name="Some difficulty" dataDxfId="444"/>
    <tableColumn id="4" xr3:uid="{8F91391F-822A-0D42-AFBA-3CA2E6733122}" name="Difference" dataDxfId="443"/>
    <tableColumn id="5" xr3:uid="{644C581F-65C7-8943-9154-B366EBA1BF52}" name="Statistical Significance of the Difference" dataDxfId="442"/>
    <tableColumn id="6" xr3:uid="{0C059C31-9A0A-F349-844F-C51AC4DF7C07}" name="At least a lot of difficulty" dataDxfId="441"/>
    <tableColumn id="7" xr3:uid="{83E410BC-FC88-104F-BA3D-A93DC9642D83}" name="Difference No difficulty &amp; At least a lot of difficulty" dataDxfId="440"/>
    <tableColumn id="8" xr3:uid="{9162FBEA-7BAA-B048-A13E-458DD3DBE5D5}" name="Statistical Significance of the Difference (No difficulty vs At least a lot)" dataDxfId="439"/>
  </tableColumns>
  <tableStyleInfo name="TableStyleMedium2" showFirstColumn="1" showLastColumn="0" showRowStripes="1" showColumnStripes="0"/>
</table>
</file>

<file path=xl/tables/table2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3" xr:uid="{34E3866B-7769-6442-9CDE-2B54AF89376C}" name="Table_S4.3.c_Share_of_males_in_households_owning_assets_Percentage_disaggregation_c" displayName="Table_S4.3.c_Share_of_males_in_households_owning_assets_Percentage_disaggregation_c" ref="P18:T23" totalsRowShown="0" headerRowDxfId="438" dataDxfId="437">
  <autoFilter ref="P18:T23" xr:uid="{34E3866B-7769-6442-9CDE-2B54AF89376C}"/>
  <tableColumns count="5">
    <tableColumn id="1" xr3:uid="{42843147-9515-A64C-9F90-E1FE4570BFC7}" name="Region" dataDxfId="436"/>
    <tableColumn id="2" xr3:uid="{B35B6F6E-1BCE-674D-A34B-C59A1C9EA2E9}" name="No or some difficulty" dataDxfId="435"/>
    <tableColumn id="3" xr3:uid="{DE549CD5-D497-1D4B-B37D-05C7B96372AA}" name="At least a lot of difficulty" dataDxfId="434"/>
    <tableColumn id="4" xr3:uid="{A22F6E48-D494-D44A-906F-E1E537F2CD04}" name="Difference" dataDxfId="433"/>
    <tableColumn id="5" xr3:uid="{A5EBF8A6-C95D-874B-B678-9E983A02BBEC}" name="Statistical Significance of the Difference" dataDxfId="432"/>
  </tableColumns>
  <tableStyleInfo name="TableStyleMedium2" showFirstColumn="1" showLastColumn="0" showRowStripes="1" showColumnStripes="0"/>
</table>
</file>

<file path=xl/tables/table2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4" xr:uid="{0D112539-5F3C-3941-81CC-9206CCF05476}" name="Table_S4.4.a_Share_of_rural_residents_in_households_owning_assets_Percentage_disaggregation_a" displayName="Table_S4.4.a_Share_of_rural_residents_in_households_owning_assets_Percentage_disaggregation_a" ref="A26:E31" totalsRowShown="0" headerRowDxfId="431" dataDxfId="430">
  <autoFilter ref="A26:E31" xr:uid="{0D112539-5F3C-3941-81CC-9206CCF05476}"/>
  <tableColumns count="5">
    <tableColumn id="1" xr3:uid="{602476CC-FCB7-0846-904C-7DC8F2BAD569}" name="Region" dataDxfId="429"/>
    <tableColumn id="2" xr3:uid="{CF6ACF7B-29D6-6C47-A8AB-1D717611A36E}" name="No difficulty" dataDxfId="428"/>
    <tableColumn id="3" xr3:uid="{6D366DFB-A810-C346-B96B-F2FD943BD008}" name="Any difficulty" dataDxfId="427"/>
    <tableColumn id="4" xr3:uid="{7745DA3C-5FFE-454B-B1D5-95912442D639}" name="Difference" dataDxfId="426"/>
    <tableColumn id="5" xr3:uid="{A5B92252-2528-E447-AAF5-0EFF5D144168}" name="Statistical Significance of the Difference" dataDxfId="425"/>
  </tableColumns>
  <tableStyleInfo name="TableStyleMedium2" showFirstColumn="1" showLastColumn="0" showRowStripes="1" showColumnStripes="0"/>
</table>
</file>

<file path=xl/tables/table2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5" xr:uid="{C095AB6D-E7BA-C148-9660-37CB10DE6387}" name="Table_S4.4.b_Share_of_rural_residents_in_households_owning_assets_Percentage_disaggregation_b" displayName="Table_S4.4.b_Share_of_rural_residents_in_households_owning_assets_Percentage_disaggregation_b" ref="G26:N31" totalsRowShown="0" headerRowDxfId="424" dataDxfId="423">
  <autoFilter ref="G26:N31" xr:uid="{C095AB6D-E7BA-C148-9660-37CB10DE6387}"/>
  <tableColumns count="8">
    <tableColumn id="1" xr3:uid="{4B4D33B2-0C1E-1E42-9A89-C9EB4AD71896}" name="Region" dataDxfId="422"/>
    <tableColumn id="2" xr3:uid="{5AE5CCF9-0AB6-5341-B3CE-AE30754C6978}" name="No difficulty" dataDxfId="421"/>
    <tableColumn id="3" xr3:uid="{A918B323-1C4B-E74D-96E0-DDB644396D89}" name="Some difficulty" dataDxfId="420"/>
    <tableColumn id="4" xr3:uid="{D410B1EA-DEB0-254D-A5E7-F57EFD612680}" name="Difference" dataDxfId="419"/>
    <tableColumn id="5" xr3:uid="{67E0CD5B-D96C-484E-AE11-E1DD162971A8}" name="Statistical Significance of the Difference" dataDxfId="418"/>
    <tableColumn id="6" xr3:uid="{35B3C904-3309-DF42-81DB-80A0176F6276}" name="At least a lot of difficulty" dataDxfId="417"/>
    <tableColumn id="7" xr3:uid="{34859278-19E8-664B-8ADC-B76D8E050240}" name="Difference No difficulty &amp; At least a lot of difficulty" dataDxfId="416"/>
    <tableColumn id="8" xr3:uid="{3733F8B3-D4A7-AC44-B91D-26C725369795}" name="Statistical Significance of the Difference (No difficulty vs At least a lot)" dataDxfId="415"/>
  </tableColumns>
  <tableStyleInfo name="TableStyleMedium2" showFirstColumn="1" showLastColumn="0" showRowStripes="1" showColumnStripes="0"/>
</table>
</file>

<file path=xl/tables/table2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6" xr:uid="{0C13CA76-86AC-0249-88ED-FB8C7AFAFD07}" name="Table_S4.4.c_Share_of_rural_residents_in_households_owning_assets_Percentage_disaggregation_c" displayName="Table_S4.4.c_Share_of_rural_residents_in_households_owning_assets_Percentage_disaggregation_c" ref="P26:T31" totalsRowShown="0" headerRowDxfId="414" dataDxfId="413">
  <autoFilter ref="P26:T31" xr:uid="{0C13CA76-86AC-0249-88ED-FB8C7AFAFD07}"/>
  <tableColumns count="5">
    <tableColumn id="1" xr3:uid="{B54FF070-ED99-AD47-B2D9-7DA2631D30C2}" name="Region" dataDxfId="412"/>
    <tableColumn id="2" xr3:uid="{3108C1A4-1080-8447-80AC-6292DA82439D}" name="No or some difficulty" dataDxfId="411"/>
    <tableColumn id="3" xr3:uid="{0DF2FCAE-3CE2-0246-8A28-397365CE526C}" name="At least a lot of difficulty" dataDxfId="410"/>
    <tableColumn id="4" xr3:uid="{E1BFC59D-B09B-8C49-B1B2-87FAEC9D75DB}" name="Difference" dataDxfId="409"/>
    <tableColumn id="5" xr3:uid="{8C29DD78-D3EF-B44D-8C40-AB6AB4FD7E38}" name="Statistical Significance of the Difference" dataDxfId="408"/>
  </tableColumns>
  <tableStyleInfo name="TableStyleMedium2" showFirstColumn="1" showLastColumn="0" showRowStripes="1" showColumnStripes="0"/>
</table>
</file>

<file path=xl/tables/table2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7" xr:uid="{D0D569F2-D37A-6848-8C3F-ACEC0AFAB29E}" name="Table_S4.5.a_Share_of_urban_residents_in_households_owning_assets_Percentage_disaggregation_a" displayName="Table_S4.5.a_Share_of_urban_residents_in_households_owning_assets_Percentage_disaggregation_a" ref="A34:E39" totalsRowShown="0" headerRowDxfId="407" dataDxfId="406">
  <autoFilter ref="A34:E39" xr:uid="{D0D569F2-D37A-6848-8C3F-ACEC0AFAB29E}"/>
  <tableColumns count="5">
    <tableColumn id="1" xr3:uid="{348E0642-2761-1E43-9DC7-F05A1C9FC69F}" name="Region" dataDxfId="405"/>
    <tableColumn id="2" xr3:uid="{71B9CF19-CBE9-9F49-9DBD-59C6FAD76308}" name="No difficulty" dataDxfId="404"/>
    <tableColumn id="3" xr3:uid="{37FB8B84-A621-1549-8FD5-8AA96C297431}" name="Any difficulty" dataDxfId="403"/>
    <tableColumn id="4" xr3:uid="{570D6F51-1830-2041-AAA5-C159F5170B5C}" name="Difference" dataDxfId="402"/>
    <tableColumn id="5" xr3:uid="{84EA1BF4-0D5A-394D-B938-0A5287DB09AB}" name="Statistical Significance of the Difference" dataDxfId="401"/>
  </tableColumns>
  <tableStyleInfo name="TableStyleMedium2" showFirstColumn="1" showLastColumn="0" showRowStripes="1" showColumnStripes="0"/>
</table>
</file>

<file path=xl/tables/table2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8" xr:uid="{3994983E-5C76-414C-8F3A-A8C020F9D0AF}" name="Table_S4.5.b_Share_of_urban_residents_in_households_owning_assets_Percentage_disaggregation_b" displayName="Table_S4.5.b_Share_of_urban_residents_in_households_owning_assets_Percentage_disaggregation_b" ref="G34:N39" totalsRowShown="0" headerRowDxfId="400" dataDxfId="399">
  <autoFilter ref="G34:N39" xr:uid="{3994983E-5C76-414C-8F3A-A8C020F9D0AF}"/>
  <tableColumns count="8">
    <tableColumn id="1" xr3:uid="{4036CA68-96B9-6B46-A240-FCE1C7FB275F}" name="Region" dataDxfId="398"/>
    <tableColumn id="2" xr3:uid="{285F0FB5-BDC5-7147-B955-871E45867DCB}" name="No difficulty" dataDxfId="397"/>
    <tableColumn id="3" xr3:uid="{F18DF651-4F46-544F-925C-641D7CE50A6D}" name="Some difficulty" dataDxfId="396"/>
    <tableColumn id="4" xr3:uid="{CA83F07E-A368-4444-A663-C777E677B0F4}" name="Difference" dataDxfId="395"/>
    <tableColumn id="5" xr3:uid="{77EFBF08-F44B-0245-99E8-8D5C70726EEA}" name="Statistical Significance of the Difference" dataDxfId="394"/>
    <tableColumn id="6" xr3:uid="{555EE314-2527-A640-8D98-3BF76A53432E}" name="At least a lot of difficulty" dataDxfId="393"/>
    <tableColumn id="7" xr3:uid="{1B32C2B5-629B-4647-80EC-D6DF48AE28C4}" name="Difference No difficulty &amp; At least a lot of difficulty" dataDxfId="392"/>
    <tableColumn id="8" xr3:uid="{03F6F512-023F-6A41-AC10-A7E418314D86}" name="Statistical Significance of the Difference (No difficulty vs At least a lot)" dataDxfId="391"/>
  </tableColumns>
  <tableStyleInfo name="TableStyleMedium2" showFirstColumn="1"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3596A08-9F9E-AD41-A07B-BA6A985D4EF0}" name="Table_S3_Share_of_all_adults_in_households_with_adequate_housing_Percentage_by_functional_difficulty_type" displayName="Table_S3_Share_of_all_adults_in_households_with_adequate_housing_Percentage_by_functional_difficulty_type" ref="A66:H71" totalsRowShown="0" headerRowDxfId="2055" dataDxfId="2054">
  <autoFilter ref="A66:H71" xr:uid="{E3596A08-9F9E-AD41-A07B-BA6A985D4EF0}"/>
  <tableColumns count="8">
    <tableColumn id="1" xr3:uid="{AA6085FE-4370-3A41-B31C-6FB92904D29A}" name="Region" dataDxfId="2053"/>
    <tableColumn id="2" xr3:uid="{61B66FDB-3E1D-5249-9BF9-91EEC9201C7A}" name="No Difficulty" dataDxfId="2052"/>
    <tableColumn id="3" xr3:uid="{7C89489B-1062-5548-9F53-03FA6A732E15}" name="Seeing" dataDxfId="2051"/>
    <tableColumn id="4" xr3:uid="{98C60C67-1D3E-674C-9A48-D90378C7E824}" name="Hearing" dataDxfId="2050"/>
    <tableColumn id="5" xr3:uid="{B54003C3-D23F-4B45-9111-BCCBED4434D4}" name="Mobility" dataDxfId="2049"/>
    <tableColumn id="6" xr3:uid="{ED532F53-4824-3746-AF18-DAEDF2FB92EF}" name="Cognition" dataDxfId="2048"/>
    <tableColumn id="7" xr3:uid="{D3DE8D18-429B-424B-96DD-B931182DEBF3}" name="Self-Care" dataDxfId="2047"/>
    <tableColumn id="8" xr3:uid="{042BB33F-A41C-5E45-863D-F2C63EE8129F}" name="Communication" dataDxfId="2046"/>
  </tableColumns>
  <tableStyleInfo name="TableStyleMedium2" showFirstColumn="1" showLastColumn="0" showRowStripes="1" showColumnStripes="0"/>
</table>
</file>

<file path=xl/tables/table2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ACF82809-F71C-F249-B096-02E9F7303A2D}" name="Table_S4.5.c_Share_of_urban_residents_in_households_owning_assets_Percentage_disaggregation_c" displayName="Table_S4.5.c_Share_of_urban_residents_in_households_owning_assets_Percentage_disaggregation_c" ref="P34:T39" totalsRowShown="0" headerRowDxfId="390" dataDxfId="389">
  <autoFilter ref="P34:T39" xr:uid="{ACF82809-F71C-F249-B096-02E9F7303A2D}"/>
  <tableColumns count="5">
    <tableColumn id="1" xr3:uid="{B111FF20-A133-2F40-BA13-72DFA0BB66EA}" name="Region" dataDxfId="388"/>
    <tableColumn id="2" xr3:uid="{A3BE67AB-3B77-054B-88BB-1B298BE05F91}" name="No or some difficulty" dataDxfId="387"/>
    <tableColumn id="3" xr3:uid="{9E820DF2-BC19-714E-80E9-D3A6EB0DC703}" name="At least a lot of difficulty" dataDxfId="386"/>
    <tableColumn id="4" xr3:uid="{3851D663-74F7-6A40-B0DE-D2AD604FD58C}" name="Difference" dataDxfId="385"/>
    <tableColumn id="5" xr3:uid="{A0D58B87-0CAA-F54E-938B-83C5E09D351C}" name="Statistical Significance of the Difference" dataDxfId="384"/>
  </tableColumns>
  <tableStyleInfo name="TableStyleMedium2" showFirstColumn="1" showLastColumn="0" showRowStripes="1" showColumnStripes="0"/>
</table>
</file>

<file path=xl/tables/table2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43F584D2-70AA-8143-8FBD-64713679FBB6}" name="Table_S4.6.a_Share_of_adults_age_15_to_44_in_households_owning_assets_Percentage_disaggregation_a" displayName="Table_S4.6.a_Share_of_adults_age_15_to_44_in_households_owning_assets_Percentage_disaggregation_a" ref="A42:E47" totalsRowShown="0" headerRowDxfId="383" dataDxfId="382">
  <autoFilter ref="A42:E47" xr:uid="{43F584D2-70AA-8143-8FBD-64713679FBB6}"/>
  <tableColumns count="5">
    <tableColumn id="1" xr3:uid="{C2539232-E552-6346-ACA2-9F2367CB493B}" name="Region" dataDxfId="381"/>
    <tableColumn id="2" xr3:uid="{1276D3A0-1A5F-994E-ACCC-72F526869C64}" name="No difficulty" dataDxfId="380"/>
    <tableColumn id="3" xr3:uid="{58AACBB5-9CEE-944D-BE7B-5A492A43A346}" name="Any difficulty" dataDxfId="379"/>
    <tableColumn id="4" xr3:uid="{7717B19A-6985-1148-A4EB-F9B0B431A21F}" name="Difference" dataDxfId="378"/>
    <tableColumn id="5" xr3:uid="{D60457BD-D4DE-9F4C-8650-73286D86BB8F}" name="Statistical Significance of the Difference" dataDxfId="377"/>
  </tableColumns>
  <tableStyleInfo name="TableStyleMedium2" showFirstColumn="1" showLastColumn="0" showRowStripes="1" showColumnStripes="0"/>
</table>
</file>

<file path=xl/tables/table2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82107655-9603-F247-8B83-18595CBE4991}" name="Table_S4.6.b_Share_of_adults_age_15_to_44_in_households_owning_assets_Percentage_disaggregation_b" displayName="Table_S4.6.b_Share_of_adults_age_15_to_44_in_households_owning_assets_Percentage_disaggregation_b" ref="G42:N47" totalsRowShown="0" headerRowDxfId="376" dataDxfId="375">
  <autoFilter ref="G42:N47" xr:uid="{82107655-9603-F247-8B83-18595CBE4991}"/>
  <tableColumns count="8">
    <tableColumn id="1" xr3:uid="{3C1969F3-1AD7-CF43-A87F-AB94954DC6F6}" name="Region" dataDxfId="374"/>
    <tableColumn id="2" xr3:uid="{848D369B-EEB1-0E4B-A911-C36F8A918784}" name="No difficulty" dataDxfId="373"/>
    <tableColumn id="3" xr3:uid="{7E3D313F-4F80-054E-97E7-2A1C8C49BDF5}" name="Some difficulty" dataDxfId="372"/>
    <tableColumn id="4" xr3:uid="{76A11CF6-556E-104F-9851-6F234D20017F}" name="Difference" dataDxfId="371"/>
    <tableColumn id="5" xr3:uid="{3A0B261C-176F-0B49-AEA6-1DEF46B67292}" name="Statistical Significance of the Difference" dataDxfId="370"/>
    <tableColumn id="6" xr3:uid="{2984B99F-7CE2-5B41-B9C1-A41B3DC64081}" name="At least a lot of difficulty" dataDxfId="369"/>
    <tableColumn id="7" xr3:uid="{61E047BE-BA4A-D844-9312-DE1C8F1E8644}" name="Difference No difficulty &amp; At least a lot of difficulty" dataDxfId="368"/>
    <tableColumn id="8" xr3:uid="{28E6B14C-0644-FE4F-BAD7-23A71C0A0E49}" name="Statistical Significance of the Difference (No difficulty vs At least a lot)" dataDxfId="367"/>
  </tableColumns>
  <tableStyleInfo name="TableStyleMedium2" showFirstColumn="1" showLastColumn="0" showRowStripes="1" showColumnStripes="0"/>
</table>
</file>

<file path=xl/tables/table2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EB3806D0-29D1-B348-B1A9-8819DEDCA158}" name="Table_S4.6.c_Share_of_adults_age_15_to_44_in_households_owning_assets_Percentage_disaggregation_c" displayName="Table_S4.6.c_Share_of_adults_age_15_to_44_in_households_owning_assets_Percentage_disaggregation_c" ref="P42:T47" totalsRowShown="0" headerRowDxfId="366" dataDxfId="365">
  <autoFilter ref="P42:T47" xr:uid="{EB3806D0-29D1-B348-B1A9-8819DEDCA158}"/>
  <tableColumns count="5">
    <tableColumn id="1" xr3:uid="{36C61107-F20C-8945-B05E-8EFC11FECDA5}" name="Region" dataDxfId="364"/>
    <tableColumn id="2" xr3:uid="{5784AC17-745E-134E-B3A5-46E46D8834FF}" name="No or some difficulty" dataDxfId="363"/>
    <tableColumn id="3" xr3:uid="{CB491072-A8D8-D24B-82C9-AF2C38F4F9DF}" name="At least a lot of difficulty" dataDxfId="362"/>
    <tableColumn id="4" xr3:uid="{DD3717F7-5EF6-9B48-B84D-54C2A7FE14AE}" name="Difference" dataDxfId="361"/>
    <tableColumn id="5" xr3:uid="{1C1B85BC-D18D-9242-98C1-F4A5ABF058F3}" name="Statistical Significance of the Difference" dataDxfId="360"/>
  </tableColumns>
  <tableStyleInfo name="TableStyleMedium2" showFirstColumn="1" showLastColumn="0" showRowStripes="1" showColumnStripes="0"/>
</table>
</file>

<file path=xl/tables/table2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DC0ACD4C-F5B9-5D49-B921-95BF633D9915}" name="Table_S4.7.a_Share_of_adults_age_45_and_older_in_households_owning_assets_Percentage_disaggregation_a" displayName="Table_S4.7.a_Share_of_adults_age_45_and_older_in_households_owning_assets_Percentage_disaggregation_a" ref="A50:E55" totalsRowShown="0" headerRowDxfId="359" dataDxfId="358">
  <autoFilter ref="A50:E55" xr:uid="{DC0ACD4C-F5B9-5D49-B921-95BF633D9915}"/>
  <tableColumns count="5">
    <tableColumn id="1" xr3:uid="{83AE5859-2460-224A-954C-3F42741AA2DB}" name="Region" dataDxfId="357"/>
    <tableColumn id="2" xr3:uid="{AA0B2C24-FEF2-854B-800C-918AB0B84C77}" name="No difficulty" dataDxfId="356"/>
    <tableColumn id="3" xr3:uid="{78BB7CC2-1254-F247-910A-E5E848586B19}" name="Any difficulty" dataDxfId="355"/>
    <tableColumn id="4" xr3:uid="{C679C450-7D05-EA42-A9CD-FE132C782753}" name="Difference" dataDxfId="354"/>
    <tableColumn id="5" xr3:uid="{4FFED2F2-2207-3A4F-86CE-C8C8B1A92E2B}" name="Statistical Significance of the Difference" dataDxfId="353"/>
  </tableColumns>
  <tableStyleInfo name="TableStyleMedium2" showFirstColumn="1" showLastColumn="0" showRowStripes="1" showColumnStripes="0"/>
</table>
</file>

<file path=xl/tables/table2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8A5ED558-009B-8641-BFCF-9DF3C3257818}" name="Table_S4.7.b_Share_of_adults_age_45_and_older_in_households_owning_assets_Percentage_disaggregation_b" displayName="Table_S4.7.b_Share_of_adults_age_45_and_older_in_households_owning_assets_Percentage_disaggregation_b" ref="G50:N55" totalsRowShown="0" headerRowDxfId="352" dataDxfId="351">
  <autoFilter ref="G50:N55" xr:uid="{8A5ED558-009B-8641-BFCF-9DF3C3257818}"/>
  <tableColumns count="8">
    <tableColumn id="1" xr3:uid="{8690A8F2-A088-7E49-838D-F06FA2D4F474}" name="Region" dataDxfId="350"/>
    <tableColumn id="2" xr3:uid="{7F639DC5-1CFF-BF48-8C25-B936282382D6}" name="No difficulty" dataDxfId="349"/>
    <tableColumn id="3" xr3:uid="{3FF85B09-0AB0-7144-BDAC-88F27C644F0A}" name="Some difficulty" dataDxfId="348"/>
    <tableColumn id="4" xr3:uid="{8AAFEC86-F0CE-2C48-A251-5F5942EF539D}" name="Difference" dataDxfId="347"/>
    <tableColumn id="5" xr3:uid="{01DEB932-6C46-984B-A17C-EA1EF9FF1750}" name="Statistical Significance of the Difference" dataDxfId="346"/>
    <tableColumn id="6" xr3:uid="{4D1E084C-1065-F74E-88F9-25AD733A3B5A}" name="At least a lot of difficulty" dataDxfId="345"/>
    <tableColumn id="7" xr3:uid="{7D157AC0-EDA1-1A43-944F-BA545A7A6A58}" name="Difference No difficulty &amp; At least a lot of difficulty" dataDxfId="344"/>
    <tableColumn id="8" xr3:uid="{3D5B6716-E8A1-D141-A4DB-178E9F2F736B}" name="Statistical Significance of the Difference (No difficulty vs At least a lot)" dataDxfId="343"/>
  </tableColumns>
  <tableStyleInfo name="TableStyleMedium2" showFirstColumn="1" showLastColumn="0" showRowStripes="1" showColumnStripes="0"/>
</table>
</file>

<file path=xl/tables/table2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7ECFD377-A4A4-B141-B03E-EB869E53AF2B}" name="Table_S4.7.c_Share_of_adults_age_45_and_older_in_households_owning_assets_Percentage_disaggregation_c" displayName="Table_S4.7.c_Share_of_adults_age_45_and_older_in_households_owning_assets_Percentage_disaggregation_c" ref="P50:T55" totalsRowShown="0" headerRowDxfId="342" dataDxfId="341">
  <autoFilter ref="P50:T55" xr:uid="{7ECFD377-A4A4-B141-B03E-EB869E53AF2B}"/>
  <tableColumns count="5">
    <tableColumn id="1" xr3:uid="{C0241E6E-A537-DC43-AD55-FAA8BF182B1A}" name="Region" dataDxfId="340"/>
    <tableColumn id="2" xr3:uid="{0CE2474C-FEF8-F548-95FA-E52FA1370CF6}" name="No or some difficulty" dataDxfId="339"/>
    <tableColumn id="3" xr3:uid="{10D4138B-059A-4D44-A519-2A42B8C1CDA0}" name="At least a lot of difficulty" dataDxfId="338"/>
    <tableColumn id="4" xr3:uid="{FBA67368-AEB2-7243-8130-4C2C0360268B}" name="Difference" dataDxfId="337"/>
    <tableColumn id="5" xr3:uid="{AF819030-7DD5-8646-AE04-598BDAA00518}" name="Statistical Significance of the Difference" dataDxfId="336"/>
  </tableColumns>
  <tableStyleInfo name="TableStyleMedium2" showFirstColumn="1" showLastColumn="0" showRowStripes="1" showColumnStripes="0"/>
</table>
</file>

<file path=xl/tables/table2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BD8F6BF5-4D43-FA40-86B9-4571AAF30E55}" name="Table_S5.1.a_Adults_in_households_with_cell_phone_for_all_adults_Percentage_disaggregation_a" displayName="Table_S5.1.a_Adults_in_households_with_cell_phone_for_all_adults_Percentage_disaggregation_a" ref="A2:E7" totalsRowShown="0" headerRowDxfId="335" dataDxfId="334">
  <autoFilter ref="A2:E7" xr:uid="{BD8F6BF5-4D43-FA40-86B9-4571AAF30E55}"/>
  <tableColumns count="5">
    <tableColumn id="1" xr3:uid="{0BD6305D-F75F-4243-8F79-D3E9ED424DDF}" name="Region" dataDxfId="333"/>
    <tableColumn id="2" xr3:uid="{3D53B1C4-CDFD-CB45-8BAF-ECC92FABBE3C}" name="No difficulty" dataDxfId="332"/>
    <tableColumn id="3" xr3:uid="{B77FC879-8349-524D-B8A7-C3342E8BEDB6}" name="Any difficulty" dataDxfId="331"/>
    <tableColumn id="4" xr3:uid="{C7ECADF0-FEC5-1844-98E9-B27DF0289C58}" name="Difference" dataDxfId="330"/>
    <tableColumn id="5" xr3:uid="{9D1F3C2D-142C-DE46-BB2D-004905D8D863}" name="Statistical Significance of the Difference" dataDxfId="329"/>
  </tableColumns>
  <tableStyleInfo name="TableStyleMedium2" showFirstColumn="1" showLastColumn="0" showRowStripes="1" showColumnStripes="0"/>
</table>
</file>

<file path=xl/tables/table2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565126DB-B362-8648-9FF4-FD76411B0708}" name="Table_S5.1.b_Adults_in_households_with_cell_phone_for_all_adults_Percentage_disaggregation_b" displayName="Table_S5.1.b_Adults_in_households_with_cell_phone_for_all_adults_Percentage_disaggregation_b" ref="G2:N7" totalsRowShown="0" headerRowDxfId="328" dataDxfId="327">
  <autoFilter ref="G2:N7" xr:uid="{565126DB-B362-8648-9FF4-FD76411B0708}"/>
  <tableColumns count="8">
    <tableColumn id="1" xr3:uid="{94A246FB-C0D9-6245-A438-6056522EE00B}" name="Region" dataDxfId="326"/>
    <tableColumn id="2" xr3:uid="{A1DAF50C-72AE-714B-B413-C0190D83BFB8}" name="No difficulty" dataDxfId="325"/>
    <tableColumn id="3" xr3:uid="{1DEEB277-A2E7-4C4F-BBD2-3898793CE9E4}" name="Some difficulty" dataDxfId="324"/>
    <tableColumn id="4" xr3:uid="{458BECE7-72C4-4C4D-BDA5-B49AF29CB2C8}" name="Difference" dataDxfId="323"/>
    <tableColumn id="5" xr3:uid="{81018BB6-A7A1-A549-9936-1EEF41ADE19E}" name="Statistical Significance of the Difference" dataDxfId="322"/>
    <tableColumn id="6" xr3:uid="{724B2F3F-FA53-DA45-A340-FB4F7B5FF7DA}" name="At least a lot of difficulty" dataDxfId="321"/>
    <tableColumn id="7" xr3:uid="{320BA136-D12B-D547-B744-7F05099834D5}" name="Difference No difficulty &amp; At least a lot of difficulty" dataDxfId="320"/>
    <tableColumn id="8" xr3:uid="{C83B60B1-1024-8449-A656-6BED764BBFBF}" name="Statistical Significance of the Difference (No difficulty vs At least a lot)" dataDxfId="319"/>
  </tableColumns>
  <tableStyleInfo name="TableStyleMedium2" showFirstColumn="1" showLastColumn="0" showRowStripes="1" showColumnStripes="0"/>
</table>
</file>

<file path=xl/tables/table2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83D22897-C563-2647-A521-1212E86A73E9}" name="Table_S5.1.c_Adults_in_households_with_cell_phone_for_all_adults_Percentage_disaggregation_c" displayName="Table_S5.1.c_Adults_in_households_with_cell_phone_for_all_adults_Percentage_disaggregation_c" ref="P2:T7" totalsRowShown="0" headerRowDxfId="318" dataDxfId="317">
  <autoFilter ref="P2:T7" xr:uid="{83D22897-C563-2647-A521-1212E86A73E9}"/>
  <tableColumns count="5">
    <tableColumn id="1" xr3:uid="{53185077-1B9F-FB4C-85BA-72C30C1F4E5C}" name="Region" dataDxfId="316"/>
    <tableColumn id="2" xr3:uid="{185F1CC7-5D68-0043-9320-9C6B5776D137}" name="No or some difficulty" dataDxfId="315"/>
    <tableColumn id="3" xr3:uid="{3C8ABAD0-6738-9344-8673-20AD2837109A}" name="At least a lot of difficulty" dataDxfId="314"/>
    <tableColumn id="4" xr3:uid="{9E1740F4-9BC0-0942-8AEF-E4A181D214DB}" name="Difference" dataDxfId="313"/>
    <tableColumn id="5" xr3:uid="{0FD2FAFE-FF1E-6B4D-B186-EB389ABA20E3}" name="Statistical Significance of the Difference" dataDxfId="312"/>
  </tableColumns>
  <tableStyleInfo name="TableStyleMedium2" showFirstColumn="1"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AC50465-CFE0-DF48-908A-B3047FA4EA01}" name="Table_S4_Share_of_all_adults_in_households_owning_assets_Percentage_by_functional_difficulty_type" displayName="Table_S4_Share_of_all_adults_in_households_owning_assets_Percentage_by_functional_difficulty_type" ref="A74:H79" totalsRowShown="0" headerRowDxfId="2045" dataDxfId="2044">
  <autoFilter ref="A74:H79" xr:uid="{BAC50465-CFE0-DF48-908A-B3047FA4EA01}"/>
  <tableColumns count="8">
    <tableColumn id="1" xr3:uid="{98BB0803-65F9-0647-B446-BE7823C512D6}" name="Region" dataDxfId="2043"/>
    <tableColumn id="2" xr3:uid="{E1E7AD7C-6CD5-F94E-B7D3-D6BFB752C50C}" name="No Difficulty" dataDxfId="2042"/>
    <tableColumn id="3" xr3:uid="{702A32D2-961B-FD4A-BE95-51CF7717F897}" name="Seeing" dataDxfId="2041"/>
    <tableColumn id="4" xr3:uid="{2A089F70-35C5-3248-936D-B6D58C297B1D}" name="Hearing" dataDxfId="2040"/>
    <tableColumn id="5" xr3:uid="{8976C33D-094A-4040-812A-B66768C2E818}" name="Mobility" dataDxfId="2039"/>
    <tableColumn id="6" xr3:uid="{9DDA9DFA-1EC5-3A43-A9F4-18F9429B0456}" name="Cognition" dataDxfId="2038"/>
    <tableColumn id="7" xr3:uid="{649BD130-6904-0D43-8D34-1FB8BBF36896}" name="Self-Care" dataDxfId="2037"/>
    <tableColumn id="8" xr3:uid="{1552D813-BB5D-CD44-A766-AEAFC759812C}" name="Communication" dataDxfId="2036"/>
  </tableColumns>
  <tableStyleInfo name="TableStyleMedium2" showFirstColumn="1" showLastColumn="0" showRowStripes="1" showColumnStripes="0"/>
</table>
</file>

<file path=xl/tables/table2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7589D789-9CA1-EC4A-B65B-87E8C1C12232}" name="Table_S5.2.a_Adults_in_households_with_cell_phone_for_females_Percentage_disaggregation_a" displayName="Table_S5.2.a_Adults_in_households_with_cell_phone_for_females_Percentage_disaggregation_a" ref="A10:E15" totalsRowShown="0" headerRowDxfId="311" dataDxfId="310">
  <autoFilter ref="A10:E15" xr:uid="{7589D789-9CA1-EC4A-B65B-87E8C1C12232}"/>
  <tableColumns count="5">
    <tableColumn id="1" xr3:uid="{A7CBE114-56DD-CE48-B12E-54B88D2E4DC1}" name="Region" dataDxfId="309"/>
    <tableColumn id="2" xr3:uid="{B00DDA35-B3D5-FB41-9F94-1A54516884F3}" name="No difficulty" dataDxfId="308"/>
    <tableColumn id="3" xr3:uid="{B5A9D318-4C0D-E040-9660-554BC93EFF65}" name="Any difficulty" dataDxfId="307"/>
    <tableColumn id="4" xr3:uid="{C5E72D86-C0BD-E84B-BC0A-19960F9A8D14}" name="Difference" dataDxfId="306"/>
    <tableColumn id="5" xr3:uid="{14CF840C-D64D-1B4E-94A5-1B62AF4C5E26}" name="Statistical Significance of the Difference" dataDxfId="305"/>
  </tableColumns>
  <tableStyleInfo name="TableStyleMedium2" showFirstColumn="1" showLastColumn="0" showRowStripes="1" showColumnStripes="0"/>
</table>
</file>

<file path=xl/tables/table2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7D96A02D-F48B-834B-A5B2-424B6FE1F30C}" name="Table_S5.2.b_Adults_in_households_with_cell_phone_for_females_Percentage_disaggregation_b" displayName="Table_S5.2.b_Adults_in_households_with_cell_phone_for_females_Percentage_disaggregation_b" ref="G10:N15" totalsRowShown="0" headerRowDxfId="304" dataDxfId="303">
  <autoFilter ref="G10:N15" xr:uid="{7D96A02D-F48B-834B-A5B2-424B6FE1F30C}"/>
  <tableColumns count="8">
    <tableColumn id="1" xr3:uid="{43661555-23B9-8542-B7C5-815B192D7C28}" name="Region" dataDxfId="302"/>
    <tableColumn id="2" xr3:uid="{F58A8EC4-7284-AF4F-B265-16D19D3AFEFD}" name="No difficulty" dataDxfId="301"/>
    <tableColumn id="3" xr3:uid="{879C882C-A0D4-4646-B6CD-9E499C6E84BD}" name="Some difficulty" dataDxfId="300"/>
    <tableColumn id="4" xr3:uid="{53DCBF57-71F7-F74B-B6D6-88F0F54A298E}" name="Difference" dataDxfId="299"/>
    <tableColumn id="5" xr3:uid="{D2CFDB06-D783-4948-B42A-EAC6FFB83269}" name="Statistical Significance of the Difference" dataDxfId="298"/>
    <tableColumn id="6" xr3:uid="{375F8172-2E75-1D41-8903-F09D5AFBFC19}" name="At least a lot of difficulty" dataDxfId="297"/>
    <tableColumn id="7" xr3:uid="{893AFF9D-E656-A246-B1DB-6E2F1D85FA46}" name="Difference No difficulty &amp; At least a lot of difficulty" dataDxfId="296"/>
    <tableColumn id="8" xr3:uid="{FE64AC7D-ED13-1542-A617-75EF7FA3C10A}" name="Statistical Significance of the Difference (No difficulty vs At least a lot)" dataDxfId="295"/>
  </tableColumns>
  <tableStyleInfo name="TableStyleMedium2" showFirstColumn="1" showLastColumn="0" showRowStripes="1" showColumnStripes="0"/>
</table>
</file>

<file path=xl/tables/table2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15D03CF3-6BFB-0941-ADAA-B2508D04D184}" name="Table_S5.2.c_Adults_in_households_with_cell_phone_for_females_Percentage_disaggregation_c" displayName="Table_S5.2.c_Adults_in_households_with_cell_phone_for_females_Percentage_disaggregation_c" ref="P10:T15" totalsRowShown="0" headerRowDxfId="294" dataDxfId="293">
  <autoFilter ref="P10:T15" xr:uid="{15D03CF3-6BFB-0941-ADAA-B2508D04D184}"/>
  <tableColumns count="5">
    <tableColumn id="1" xr3:uid="{8FF484F1-A084-414E-977B-8D3B8E489768}" name="Region" dataDxfId="292"/>
    <tableColumn id="2" xr3:uid="{40FBBE2C-1916-B045-BD97-D4F7A1BBE7FB}" name="No or some difficulty" dataDxfId="291"/>
    <tableColumn id="3" xr3:uid="{C5F86F5B-5B81-D541-BF14-06C07633D13C}" name="At least a lot of difficulty" dataDxfId="290"/>
    <tableColumn id="4" xr3:uid="{F30FBDCB-882F-6C41-BCD3-32D427C1BC0D}" name="Difference" dataDxfId="289"/>
    <tableColumn id="5" xr3:uid="{111E83EA-56E6-4149-8762-45F26A7DD6CD}" name="Statistical Significance of the Difference" dataDxfId="288"/>
  </tableColumns>
  <tableStyleInfo name="TableStyleMedium2" showFirstColumn="1" showLastColumn="0" showRowStripes="1" showColumnStripes="0"/>
</table>
</file>

<file path=xl/tables/table2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51E99DD8-8B25-3444-8AA9-A43DD8F4AA01}" name="Table_S5.3.a_Adults_in_households_with_cell_phone_for_males_Percentage_disaggregation_a" displayName="Table_S5.3.a_Adults_in_households_with_cell_phone_for_males_Percentage_disaggregation_a" ref="A18:E23" totalsRowShown="0" headerRowDxfId="287" dataDxfId="286">
  <autoFilter ref="A18:E23" xr:uid="{51E99DD8-8B25-3444-8AA9-A43DD8F4AA01}"/>
  <tableColumns count="5">
    <tableColumn id="1" xr3:uid="{AB98DDFC-75B9-9C49-8D32-B81AB4C87981}" name="Region" dataDxfId="285"/>
    <tableColumn id="2" xr3:uid="{19AD1826-5620-EE4A-831A-1703DCD122A5}" name="No difficulty" dataDxfId="284"/>
    <tableColumn id="3" xr3:uid="{7CE51E64-18A1-9242-A862-BCA637466DB3}" name="Any difficulty" dataDxfId="283"/>
    <tableColumn id="4" xr3:uid="{0BF26F6C-5322-9346-9641-B8F28090AB2D}" name="Difference" dataDxfId="282"/>
    <tableColumn id="5" xr3:uid="{822AF063-0447-6947-8000-CC2B2EC80922}" name="Statistical Significance of the Difference" dataDxfId="281"/>
  </tableColumns>
  <tableStyleInfo name="TableStyleMedium2" showFirstColumn="1" showLastColumn="0" showRowStripes="1" showColumnStripes="0"/>
</table>
</file>

<file path=xl/tables/table2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F5A76D68-055B-3B4F-90F8-3415165BC7BC}" name="Table_S5.3.b_Adults_in_households_with_cell_phone_for_males_Percentage_disaggregation_b" displayName="Table_S5.3.b_Adults_in_households_with_cell_phone_for_males_Percentage_disaggregation_b" ref="G18:N23" totalsRowShown="0" headerRowDxfId="280" dataDxfId="279">
  <autoFilter ref="G18:N23" xr:uid="{F5A76D68-055B-3B4F-90F8-3415165BC7BC}"/>
  <tableColumns count="8">
    <tableColumn id="1" xr3:uid="{365CB017-EA86-3644-94E6-0F5F3BF40C83}" name="Region" dataDxfId="278"/>
    <tableColumn id="2" xr3:uid="{D1AB84F9-8C82-D849-B4EA-307A52E5BD5F}" name="No difficulty" dataDxfId="277"/>
    <tableColumn id="3" xr3:uid="{FD4580A0-1A6A-4344-B9D2-A7DD6AC347B4}" name="Some difficulty" dataDxfId="276"/>
    <tableColumn id="4" xr3:uid="{4655FE68-C754-E24D-948E-600A3791E282}" name="Difference" dataDxfId="275"/>
    <tableColumn id="5" xr3:uid="{0D3393E1-DA76-2D47-8A3D-1161A30A2ED7}" name="Statistical Significance of the Difference" dataDxfId="274"/>
    <tableColumn id="6" xr3:uid="{9D9311F7-D373-E046-9683-648B6C6DD1A1}" name="At least a lot of difficulty" dataDxfId="273"/>
    <tableColumn id="7" xr3:uid="{8C1F4626-852A-764D-98FA-E220E11093F2}" name="Difference No difficulty &amp; At least a lot of difficulty" dataDxfId="272"/>
    <tableColumn id="8" xr3:uid="{9A26EADB-363B-F540-B46E-4033C7B1EAF1}" name="Statistical Significance of the Difference (No difficulty vs At least a lot)" dataDxfId="271"/>
  </tableColumns>
  <tableStyleInfo name="TableStyleMedium2" showFirstColumn="1" showLastColumn="0" showRowStripes="1" showColumnStripes="0"/>
</table>
</file>

<file path=xl/tables/table2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DCB96DBB-2DD9-6644-BD3B-25976809233A}" name="Table_S5.3.c_Adults_in_households_with_cell_phone_for_males_Percentage_disaggregation_c" displayName="Table_S5.3.c_Adults_in_households_with_cell_phone_for_males_Percentage_disaggregation_c" ref="P18:T23" totalsRowShown="0" headerRowDxfId="270" dataDxfId="269">
  <autoFilter ref="P18:T23" xr:uid="{DCB96DBB-2DD9-6644-BD3B-25976809233A}"/>
  <tableColumns count="5">
    <tableColumn id="1" xr3:uid="{0CBE2BFF-F2AB-7941-9B11-889035EC6DA9}" name="Region" dataDxfId="268"/>
    <tableColumn id="2" xr3:uid="{9766DCA8-12F9-8F4A-A650-EEFAB8F59080}" name="No or some difficulty" dataDxfId="267"/>
    <tableColumn id="3" xr3:uid="{7F6D3CEA-D15F-CB4C-9088-28D7CF7D0002}" name="At least a lot of difficulty" dataDxfId="266"/>
    <tableColumn id="4" xr3:uid="{311922E7-DBB9-D640-8508-58D6B13DE47D}" name="Difference" dataDxfId="265"/>
    <tableColumn id="5" xr3:uid="{37964336-2C91-BB45-A60F-26B311E43BA7}" name="Statistical Significance of the Difference" dataDxfId="264"/>
  </tableColumns>
  <tableStyleInfo name="TableStyleMedium2" showFirstColumn="1" showLastColumn="0" showRowStripes="1" showColumnStripes="0"/>
</table>
</file>

<file path=xl/tables/table2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38018D40-E98F-0743-90CE-319F215DE9D6}" name="Table_S5.4.a_Adults_in_households_with_cell_phone_for_rural_residents_Percentage_disaggregation_a" displayName="Table_S5.4.a_Adults_in_households_with_cell_phone_for_rural_residents_Percentage_disaggregation_a" ref="A26:E31" totalsRowShown="0" headerRowDxfId="263" dataDxfId="262">
  <autoFilter ref="A26:E31" xr:uid="{38018D40-E98F-0743-90CE-319F215DE9D6}"/>
  <tableColumns count="5">
    <tableColumn id="1" xr3:uid="{D4DE0075-59B3-B147-B1B3-9B30B51C7FE4}" name="Region" dataDxfId="261"/>
    <tableColumn id="2" xr3:uid="{AFC569FA-C07E-104C-8FE1-9F03AE7AB757}" name="No difficulty" dataDxfId="260"/>
    <tableColumn id="3" xr3:uid="{3EEAFFE9-0A63-D84E-ADA9-9A51C7B8AD35}" name="Any difficulty" dataDxfId="259"/>
    <tableColumn id="4" xr3:uid="{B998C387-8E2B-5143-9237-2A407E047502}" name="Difference" dataDxfId="258"/>
    <tableColumn id="5" xr3:uid="{91E11030-ECFA-0243-9724-18D9C7FE8469}" name="Statistical Significance of the Difference" dataDxfId="257"/>
  </tableColumns>
  <tableStyleInfo name="TableStyleMedium2" showFirstColumn="1" showLastColumn="0" showRowStripes="1" showColumnStripes="0"/>
</table>
</file>

<file path=xl/tables/table2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8C39EF8B-4D40-A84C-B0B7-33F943B0AB96}" name="Table_S5.4.b_Adults_in_households_with_cell_phone_for_rural_residents_Percentage_disaggregation_b" displayName="Table_S5.4.b_Adults_in_households_with_cell_phone_for_rural_residents_Percentage_disaggregation_b" ref="G26:N31" totalsRowShown="0" headerRowDxfId="256" dataDxfId="255">
  <autoFilter ref="G26:N31" xr:uid="{8C39EF8B-4D40-A84C-B0B7-33F943B0AB96}"/>
  <tableColumns count="8">
    <tableColumn id="1" xr3:uid="{92E62F2F-88FC-1648-AACE-5E95B7ACD053}" name="Region" dataDxfId="254"/>
    <tableColumn id="2" xr3:uid="{D35A4207-CF58-2F4B-8001-3894030E5C74}" name="No difficulty" dataDxfId="253"/>
    <tableColumn id="3" xr3:uid="{2FB33D05-8C0E-F74D-946E-73DD8ED12A7C}" name="Some difficulty" dataDxfId="252"/>
    <tableColumn id="4" xr3:uid="{C5279C3B-ECAC-B449-9EC4-AFE3F80126BD}" name="Difference" dataDxfId="251"/>
    <tableColumn id="5" xr3:uid="{00492EBE-CA5E-7B4F-AC2A-3B4321010912}" name="Statistical Significance of the Difference" dataDxfId="250"/>
    <tableColumn id="6" xr3:uid="{D48750F9-A44E-AC44-ADFF-4BE0F251A088}" name="At least a lot of difficulty" dataDxfId="249"/>
    <tableColumn id="7" xr3:uid="{06218D4B-B49E-D64F-B940-3EF0F6C13983}" name="Difference No difficulty &amp; At least a lot of difficulty" dataDxfId="248"/>
    <tableColumn id="8" xr3:uid="{830FE692-74BD-1E4E-8D3D-47126976EB8C}" name="Statistical Significance of the Difference (No difficulty vs At least a lot)" dataDxfId="247"/>
  </tableColumns>
  <tableStyleInfo name="TableStyleMedium2" showFirstColumn="1" showLastColumn="0" showRowStripes="1" showColumnStripes="0"/>
</table>
</file>

<file path=xl/tables/table2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68BF81E7-0DCD-8443-9375-0817E8228F5C}" name="Table_S5.4.c_Adults_in_households_with_cell_phone_for_rural_residents_Percentage_disaggregation_c" displayName="Table_S5.4.c_Adults_in_households_with_cell_phone_for_rural_residents_Percentage_disaggregation_c" ref="P26:T31" totalsRowShown="0" headerRowDxfId="246" dataDxfId="245">
  <autoFilter ref="P26:T31" xr:uid="{68BF81E7-0DCD-8443-9375-0817E8228F5C}"/>
  <tableColumns count="5">
    <tableColumn id="1" xr3:uid="{4872827D-21C8-734C-A7A1-580CA1C352D9}" name="Region" dataDxfId="244"/>
    <tableColumn id="2" xr3:uid="{DEA177B1-39B8-F04E-B0BE-CA9CC341D35F}" name="No or some difficulty" dataDxfId="243"/>
    <tableColumn id="3" xr3:uid="{1EBBD105-7261-B046-95FA-42E8D5C79902}" name="At least a lot of difficulty" dataDxfId="242"/>
    <tableColumn id="4" xr3:uid="{EDFBDF7B-27E7-E04B-82CB-B40F7CAE5BB1}" name="Difference" dataDxfId="241"/>
    <tableColumn id="5" xr3:uid="{3B0DA0CE-196C-DA45-95D1-8F08985B042A}" name="Statistical Significance of the Difference" dataDxfId="240"/>
  </tableColumns>
  <tableStyleInfo name="TableStyleMedium2" showFirstColumn="1" showLastColumn="0" showRowStripes="1" showColumnStripes="0"/>
</table>
</file>

<file path=xl/tables/table2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CE714483-5B97-EF44-BEE7-3C386DEA1059}" name="Table_S5.5.a_Adults_in_households_with_cell_phone_for_urban_residents_Percentage_disaggregation_a" displayName="Table_S5.5.a_Adults_in_households_with_cell_phone_for_urban_residents_Percentage_disaggregation_a" ref="A34:E39" totalsRowShown="0" headerRowDxfId="239" dataDxfId="238">
  <autoFilter ref="A34:E39" xr:uid="{CE714483-5B97-EF44-BEE7-3C386DEA1059}"/>
  <tableColumns count="5">
    <tableColumn id="1" xr3:uid="{B78D8E49-CEAA-4A45-A766-7A68FE441391}" name="Region" dataDxfId="237"/>
    <tableColumn id="2" xr3:uid="{EB91A24D-3CC3-E34B-A9D6-04286D4EB484}" name="No difficulty" dataDxfId="236"/>
    <tableColumn id="3" xr3:uid="{5C6BF85D-9F39-9D40-B4A0-6CDBAA29586B}" name="Any difficulty" dataDxfId="235"/>
    <tableColumn id="4" xr3:uid="{5E8D962F-B6DE-AF43-BE68-1FD37D827B1A}" name="Difference" dataDxfId="234"/>
    <tableColumn id="5" xr3:uid="{BCF2C164-AEEF-D941-9F01-9ED926F6732B}" name="Statistical Significance of the Difference" dataDxfId="233"/>
  </tableColumns>
  <tableStyleInfo name="TableStyleMedium2" showFirstColumn="1"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639CBED-2F14-B948-955C-76D5CC339456}" name="Table_S5_Share_of_Adults_in_households_with_cell_phone__Percentage_by_functional_difficulty_type" displayName="Table_S5_Share_of_Adults_in_households_with_cell_phone__Percentage_by_functional_difficulty_type" ref="A82:H87" totalsRowShown="0" headerRowDxfId="2035" dataDxfId="2034">
  <autoFilter ref="A82:H87" xr:uid="{D639CBED-2F14-B948-955C-76D5CC339456}"/>
  <tableColumns count="8">
    <tableColumn id="1" xr3:uid="{AE0B0A56-5349-7943-8ACD-F1637CD321B0}" name="Region" dataDxfId="2033"/>
    <tableColumn id="2" xr3:uid="{85D383AC-3538-B944-BAC4-11FD46160562}" name="No Difficulty" dataDxfId="2032"/>
    <tableColumn id="3" xr3:uid="{870A6BFA-8DDC-D647-83E7-49ECA77110B2}" name="Seeing" dataDxfId="2031"/>
    <tableColumn id="4" xr3:uid="{833A867B-D37D-6D4F-95E0-3F437522E5B0}" name="Hearing" dataDxfId="2030"/>
    <tableColumn id="5" xr3:uid="{352B0867-46BE-D043-974D-7222A7DBCEB6}" name="Mobility" dataDxfId="2029"/>
    <tableColumn id="6" xr3:uid="{5CA0EB5A-30A2-7145-91F3-7D94773A0066}" name="Cognition" dataDxfId="2028"/>
    <tableColumn id="7" xr3:uid="{4BDD52EE-7CC1-2C42-85DF-B5F8DB3B6680}" name="Self-Care" dataDxfId="2027"/>
    <tableColumn id="8" xr3:uid="{AE9E4E8B-AAA0-3F42-ADF8-344BE6A0F665}" name="Communication" dataDxfId="2026"/>
  </tableColumns>
  <tableStyleInfo name="TableStyleMedium2" showFirstColumn="1" showLastColumn="0" showRowStripes="1" showColumnStripes="0"/>
</table>
</file>

<file path=xl/tables/table2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421ED8EA-7BF7-F649-AA29-7EC5CDF05655}" name="Table_S5.5.b_Adults_in_households_with_cell_phone_for_urban_residents_Percentage_disaggregation_b" displayName="Table_S5.5.b_Adults_in_households_with_cell_phone_for_urban_residents_Percentage_disaggregation_b" ref="G34:N39" totalsRowShown="0" headerRowDxfId="232" dataDxfId="231">
  <autoFilter ref="G34:N39" xr:uid="{421ED8EA-7BF7-F649-AA29-7EC5CDF05655}"/>
  <tableColumns count="8">
    <tableColumn id="1" xr3:uid="{8CFA5890-44AA-1641-940E-8BE141F151DC}" name="Region" dataDxfId="230"/>
    <tableColumn id="2" xr3:uid="{4E0EAE90-1449-E74D-87C1-E9A393320E27}" name="No difficulty" dataDxfId="229"/>
    <tableColumn id="3" xr3:uid="{0C120CD0-FD47-AE44-89B0-A66B8F2FFAEA}" name="Some difficulty" dataDxfId="228"/>
    <tableColumn id="4" xr3:uid="{CA1F6FBC-CDF6-BA46-9028-895E6A16FA5E}" name="Difference" dataDxfId="227"/>
    <tableColumn id="5" xr3:uid="{91E7AFA7-2166-E34A-8DCB-B236486A4215}" name="Statistical Significance of the Difference" dataDxfId="226"/>
    <tableColumn id="6" xr3:uid="{FB077CA9-D7C5-8E46-9F92-EF3932F6B134}" name="At least a lot of difficulty" dataDxfId="225"/>
    <tableColumn id="7" xr3:uid="{F8397F29-8A43-2F49-A610-4A75A73B21C7}" name="Difference No difficulty &amp; At least a lot of difficulty" dataDxfId="224"/>
    <tableColumn id="8" xr3:uid="{8168547B-DFB9-5048-80B8-DFA91481095C}" name="Statistical Significance of the Difference (No difficulty vs At least a lot)" dataDxfId="223"/>
  </tableColumns>
  <tableStyleInfo name="TableStyleMedium2" showFirstColumn="1" showLastColumn="0" showRowStripes="1" showColumnStripes="0"/>
</table>
</file>

<file path=xl/tables/table2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DB0EFC35-B5CC-5B47-90E2-7D619932BE6E}" name="Table_S5.5.c_Adults_in_households_with_cell_phone_for_urban_residents_Percentage_disaggregation_c" displayName="Table_S5.5.c_Adults_in_households_with_cell_phone_for_urban_residents_Percentage_disaggregation_c" ref="P34:T39" totalsRowShown="0" headerRowDxfId="222" dataDxfId="221">
  <autoFilter ref="P34:T39" xr:uid="{DB0EFC35-B5CC-5B47-90E2-7D619932BE6E}"/>
  <tableColumns count="5">
    <tableColumn id="1" xr3:uid="{377E9E11-794D-5749-ACC6-E8A31FCBCEED}" name="Region" dataDxfId="220"/>
    <tableColumn id="2" xr3:uid="{0E5B4A40-FB0B-C241-849C-2154E41D3A8B}" name="No or some difficulty" dataDxfId="219"/>
    <tableColumn id="3" xr3:uid="{98F811FC-1B8B-D945-A2DE-2C2ADE322450}" name="At least a lot of difficulty" dataDxfId="218"/>
    <tableColumn id="4" xr3:uid="{38EC4F02-0F96-4E4F-A2CE-7C75C3E27A7D}" name="Difference" dataDxfId="217"/>
    <tableColumn id="5" xr3:uid="{09208329-1344-5348-8BE5-930ACC8A32D2}" name="Statistical Significance of the Difference" dataDxfId="216"/>
  </tableColumns>
  <tableStyleInfo name="TableStyleMedium2" showFirstColumn="1" showLastColumn="0" showRowStripes="1" showColumnStripes="0"/>
</table>
</file>

<file path=xl/tables/table2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E1F5E229-B6A1-FD4D-8D4A-C15ECC92F967}" name="Table_S5.6.a_Adults_in_households_with_cell_phone_for_adults_ages_15_to_44_Percentage_disaggregation_a" displayName="Table_S5.6.a_Adults_in_households_with_cell_phone_for_adults_ages_15_to_44_Percentage_disaggregation_a" ref="A42:E47" totalsRowShown="0" headerRowDxfId="215" dataDxfId="214">
  <autoFilter ref="A42:E47" xr:uid="{E1F5E229-B6A1-FD4D-8D4A-C15ECC92F967}"/>
  <tableColumns count="5">
    <tableColumn id="1" xr3:uid="{5AC6231B-0E27-0648-8CC8-79D8AC56C7BB}" name="Region" dataDxfId="213"/>
    <tableColumn id="2" xr3:uid="{D373521A-5B6C-734E-A2E7-87B2BD932F5B}" name="No difficulty" dataDxfId="212"/>
    <tableColumn id="3" xr3:uid="{6F659E92-C9F4-EE4C-97ED-CAD1CECF5046}" name="Any difficulty" dataDxfId="211"/>
    <tableColumn id="4" xr3:uid="{F11EB552-AC72-0248-AF0B-48161F1DAB8C}" name="Difference" dataDxfId="210"/>
    <tableColumn id="5" xr3:uid="{3DA4EE38-B49C-664C-9009-A0D291929A6B}" name="Statistical Significance of the Difference" dataDxfId="209"/>
  </tableColumns>
  <tableStyleInfo name="TableStyleMedium2" showFirstColumn="1" showLastColumn="0" showRowStripes="1" showColumnStripes="0"/>
</table>
</file>

<file path=xl/tables/table2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F2734601-DD96-1443-98DE-3A9AC45ED5B6}" name="Table_S5.6.b_Adults_in_households_with_cell_phone_for_adults_ages_15_to_44_Percentage_disaggregation_b" displayName="Table_S5.6.b_Adults_in_households_with_cell_phone_for_adults_ages_15_to_44_Percentage_disaggregation_b" ref="G42:N47" totalsRowShown="0" headerRowDxfId="208" dataDxfId="207">
  <autoFilter ref="G42:N47" xr:uid="{F2734601-DD96-1443-98DE-3A9AC45ED5B6}"/>
  <tableColumns count="8">
    <tableColumn id="1" xr3:uid="{2B6D231F-0F8D-2943-9CF1-8DC67A62DC4C}" name="Region" dataDxfId="206"/>
    <tableColumn id="2" xr3:uid="{A0C10F52-C465-6D4C-A93F-4BC3738C4179}" name="No difficulty" dataDxfId="205"/>
    <tableColumn id="3" xr3:uid="{1085BCDE-5621-844C-A1E7-6AED7C7FD604}" name="Some difficulty" dataDxfId="204"/>
    <tableColumn id="4" xr3:uid="{C1C8B784-F283-6142-B431-EA5BE7AAFA39}" name="Difference" dataDxfId="203"/>
    <tableColumn id="5" xr3:uid="{CF0B98C1-3F3C-824B-8DB3-6B1709A81762}" name="Statistical Significance of the Difference" dataDxfId="202"/>
    <tableColumn id="6" xr3:uid="{B7047DE2-860F-704B-9D58-A8FA1A8906EB}" name="At least a lot of difficulty" dataDxfId="201"/>
    <tableColumn id="7" xr3:uid="{6D2BC8A8-64B8-FB41-B9FB-EA0D7618C5CD}" name="Difference No difficulty &amp; At least a lot of difficulty" dataDxfId="200"/>
    <tableColumn id="8" xr3:uid="{18D29074-3D1E-F94F-BF01-C0104313FDCE}" name="Statistical Significance of the Difference (No difficulty vs At least a lot)" dataDxfId="199"/>
  </tableColumns>
  <tableStyleInfo name="TableStyleMedium2" showFirstColumn="1" showLastColumn="0" showRowStripes="1" showColumnStripes="0"/>
</table>
</file>

<file path=xl/tables/table2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9926196C-742F-CE4F-8230-43DC92783344}" name="Table_S5.6.c_Adults_in_households_with_cell_phone_for_adults_ages_15_to_44_Percentage_disaggregation_c" displayName="Table_S5.6.c_Adults_in_households_with_cell_phone_for_adults_ages_15_to_44_Percentage_disaggregation_c" ref="P42:T47" totalsRowShown="0" headerRowDxfId="198" dataDxfId="197">
  <autoFilter ref="P42:T47" xr:uid="{9926196C-742F-CE4F-8230-43DC92783344}"/>
  <tableColumns count="5">
    <tableColumn id="1" xr3:uid="{F73AAFA8-3441-914E-B2B0-78059D9FC2B9}" name="Region" dataDxfId="196"/>
    <tableColumn id="2" xr3:uid="{81B45555-A6FF-534F-8D9C-6658B5CF9BB1}" name="No or some difficulty" dataDxfId="195"/>
    <tableColumn id="3" xr3:uid="{4BF51556-40EE-AA44-B5D5-7F34B19C6126}" name="At least a lot of difficulty" dataDxfId="194"/>
    <tableColumn id="4" xr3:uid="{E8566528-480D-D840-9BA3-90C398209137}" name="Difference" dataDxfId="193"/>
    <tableColumn id="5" xr3:uid="{D44347C8-B1A1-2446-8249-D4F88CABA04E}" name="Statistical Significance of the Difference" dataDxfId="192"/>
  </tableColumns>
  <tableStyleInfo name="TableStyleMedium2" showFirstColumn="1" showLastColumn="0" showRowStripes="1" showColumnStripes="0"/>
</table>
</file>

<file path=xl/tables/table2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D7C79808-700E-CF43-8FEF-4E994B897E5E}" name="Table_S5.7.a_Adults_in_households_with_cell_phone_for_adults_ages_45_and_older_Percentage_disaggregation_a" displayName="Table_S5.7.a_Adults_in_households_with_cell_phone_for_adults_ages_45_and_older_Percentage_disaggregation_a" ref="A50:E55" totalsRowShown="0" headerRowDxfId="191" dataDxfId="190">
  <autoFilter ref="A50:E55" xr:uid="{D7C79808-700E-CF43-8FEF-4E994B897E5E}"/>
  <tableColumns count="5">
    <tableColumn id="1" xr3:uid="{075836E6-1AC7-D94A-BF70-937E82D21CDB}" name="Region" dataDxfId="189"/>
    <tableColumn id="2" xr3:uid="{D7787272-E2F7-8349-A049-0AE822A40CE5}" name="No difficulty" dataDxfId="188"/>
    <tableColumn id="3" xr3:uid="{AF9EA4EC-8B70-2E44-8990-827A6CC3F7D9}" name="Any difficulty" dataDxfId="187"/>
    <tableColumn id="4" xr3:uid="{0EC3E32C-B895-194E-8742-83D6C74BE57A}" name="Difference" dataDxfId="186"/>
    <tableColumn id="5" xr3:uid="{6AEF245F-5CB0-524F-8BC0-191F34B57B1F}" name="Statistical Significance of the Difference" dataDxfId="185"/>
  </tableColumns>
  <tableStyleInfo name="TableStyleMedium2" showFirstColumn="1" showLastColumn="0" showRowStripes="1" showColumnStripes="0"/>
</table>
</file>

<file path=xl/tables/table2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D6DF1431-1269-1845-9768-E3211AF1E45F}" name="Table_S5.7.b_Adults_in_households_with_cell_phone_for_adults_ages_45_and_older_Percentage_disaggregation_b" displayName="Table_S5.7.b_Adults_in_households_with_cell_phone_for_adults_ages_45_and_older_Percentage_disaggregation_b" ref="G50:N55" totalsRowShown="0" headerRowDxfId="184" dataDxfId="183">
  <autoFilter ref="G50:N55" xr:uid="{D6DF1431-1269-1845-9768-E3211AF1E45F}"/>
  <tableColumns count="8">
    <tableColumn id="1" xr3:uid="{8AA2DB26-B554-D149-99B0-10C49DDA194D}" name="Region" dataDxfId="182"/>
    <tableColumn id="2" xr3:uid="{F42B1FC7-4E77-AF44-BC0E-BC86EC915528}" name="No difficulty" dataDxfId="181"/>
    <tableColumn id="3" xr3:uid="{1E0BBE51-B77F-5447-A8BB-68982029EBE0}" name="Some difficulty" dataDxfId="180"/>
    <tableColumn id="4" xr3:uid="{9C981065-E714-7741-B8BB-5AA35233A444}" name="Difference" dataDxfId="179"/>
    <tableColumn id="5" xr3:uid="{DF976CAE-0A8C-FD42-A413-B5AE50533F8E}" name="Statistical Significance of the Difference" dataDxfId="178"/>
    <tableColumn id="6" xr3:uid="{50D8579B-AE13-D348-99BF-07A302754B37}" name="At least a lot of difficulty" dataDxfId="177"/>
    <tableColumn id="7" xr3:uid="{731206BF-E406-8041-B0FA-ABAC9F6C5913}" name="Difference No difficulty &amp; At least a lot of difficulty" dataDxfId="176"/>
    <tableColumn id="8" xr3:uid="{E517F6CB-F010-9441-93DA-472261C5C19A}" name="Statistical Significance of the Difference (No difficulty vs At least a lot)" dataDxfId="175"/>
  </tableColumns>
  <tableStyleInfo name="TableStyleMedium2" showFirstColumn="1" showLastColumn="0" showRowStripes="1" showColumnStripes="0"/>
</table>
</file>

<file path=xl/tables/table2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6" xr:uid="{4FA0411B-BCDD-9840-8F8C-66597AECA24A}" name="Table_S5.7.c_Adults_in_households_with_cell_phone_for_adults_ages_45_and_older_Percentage_disaggregation_c" displayName="Table_S5.7.c_Adults_in_households_with_cell_phone_for_adults_ages_45_and_older_Percentage_disaggregation_c" ref="P50:T55" totalsRowShown="0" headerRowDxfId="174" dataDxfId="173">
  <autoFilter ref="P50:T55" xr:uid="{4FA0411B-BCDD-9840-8F8C-66597AECA24A}"/>
  <tableColumns count="5">
    <tableColumn id="1" xr3:uid="{CC7CF3B2-F32B-204F-A7FA-8A4834EAA477}" name="Region" dataDxfId="172"/>
    <tableColumn id="2" xr3:uid="{A82F9F6F-A582-574C-9E04-3E261A80962D}" name="No or some difficulty" dataDxfId="171"/>
    <tableColumn id="3" xr3:uid="{86766FDF-0365-C44E-8F3B-08381C295DC3}" name="At least a lot of difficulty" dataDxfId="170"/>
    <tableColumn id="4" xr3:uid="{493A2FC0-B8A4-D744-8DBE-42763BD327BB}" name="Difference" dataDxfId="169"/>
    <tableColumn id="5" xr3:uid="{1DF452F8-49F8-0B4A-BCCB-52F7C9AD19BD}" name="Statistical Significance of the Difference" dataDxfId="168"/>
  </tableColumns>
  <tableStyleInfo name="TableStyleMedium2" showFirstColumn="1" showLastColumn="0" showRowStripes="1" showColumnStripes="0"/>
</table>
</file>

<file path=xl/tables/table2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601DD922-D372-A44A-BB87-7A30C85013E0}" name="Table_M1.1.a_Multidimensional_poverty_headcount_for_all_adults_Percentage_disaggregation_a" displayName="Table_M1.1.a_Multidimensional_poverty_headcount_for_all_adults_Percentage_disaggregation_a" ref="A2:E7" totalsRowShown="0" headerRowDxfId="167" dataDxfId="166">
  <autoFilter ref="A2:E7" xr:uid="{601DD922-D372-A44A-BB87-7A30C85013E0}"/>
  <tableColumns count="5">
    <tableColumn id="1" xr3:uid="{7A8C3D79-5926-8749-8B79-26B75E2288C1}" name="Region" dataDxfId="165"/>
    <tableColumn id="2" xr3:uid="{95B58C49-3834-144B-9E4F-53EBA1FEB01A}" name="No difficulty" dataDxfId="164"/>
    <tableColumn id="3" xr3:uid="{EF29EC27-02F0-6B40-B4FF-D54CA19C027A}" name="Any difficulty" dataDxfId="163"/>
    <tableColumn id="4" xr3:uid="{7AC3CBF5-8AB7-2C4B-B923-575CA01C4349}" name="Difference" dataDxfId="162"/>
    <tableColumn id="5" xr3:uid="{DCF40F93-8F43-EE41-9563-FE3619F932CD}" name="Statistical Significance of the Difference" dataDxfId="161"/>
  </tableColumns>
  <tableStyleInfo name="TableStyleMedium2" showFirstColumn="1" showLastColumn="0" showRowStripes="1" showColumnStripes="0"/>
</table>
</file>

<file path=xl/tables/table2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8" xr:uid="{D6947E6D-BFC6-4C4A-A381-50BCFD66252A}" name="Table_M1.1.b_Multidimensional_poverty_headcount_for_all_adults_Percentage_disaggregation_b" displayName="Table_M1.1.b_Multidimensional_poverty_headcount_for_all_adults_Percentage_disaggregation_b" ref="G2:N7" totalsRowShown="0" headerRowDxfId="160" dataDxfId="159">
  <autoFilter ref="G2:N7" xr:uid="{D6947E6D-BFC6-4C4A-A381-50BCFD66252A}"/>
  <tableColumns count="8">
    <tableColumn id="1" xr3:uid="{21E63370-AB82-2249-9D83-CBD3EFB38BEE}" name="Region" dataDxfId="158"/>
    <tableColumn id="2" xr3:uid="{8AEF8DC7-B7F5-CC4D-95E8-47719D14597A}" name="No difficulty" dataDxfId="157"/>
    <tableColumn id="3" xr3:uid="{19848439-0F43-214B-9A50-B46888AF4ECE}" name="Some difficulty" dataDxfId="156"/>
    <tableColumn id="4" xr3:uid="{E5CF1B49-F762-5D4E-A8CB-6662C61C8A58}" name="Difference" dataDxfId="155"/>
    <tableColumn id="5" xr3:uid="{67B55B67-E86B-F246-9961-92A83B4B3816}" name="Statistical Significance of the Difference" dataDxfId="154"/>
    <tableColumn id="6" xr3:uid="{11917412-D2E5-8841-8C1B-987E306396C5}" name="At least a lot of difficulty" dataDxfId="153"/>
    <tableColumn id="7" xr3:uid="{4DCB83B9-29A3-0645-87E0-E23B89F45E0F}" name="Difference No difficulty &amp; At least a lot of difficulty" dataDxfId="152"/>
    <tableColumn id="8" xr3:uid="{D5FB871C-92BB-E448-B852-A119F276D3FF}" name="Statistical Significance of the Difference (No difficulty vs At least a lot)" dataDxfId="151"/>
  </tableColumns>
  <tableStyleInfo name="TableStyleMedium2" showFirstColumn="1"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A5E8402A-F38E-3D40-BAA8-97B1570F04AA}" name="Table_M1_Multidimensional_poverty_headcount_for_all_adults_Percentage_by_functional_difficulty_type" displayName="Table_M1_Multidimensional_poverty_headcount_for_all_adults_Percentage_by_functional_difficulty_type" ref="A90:H95" totalsRowShown="0" headerRowDxfId="2025" dataDxfId="2024">
  <autoFilter ref="A90:H95" xr:uid="{A5E8402A-F38E-3D40-BAA8-97B1570F04AA}"/>
  <tableColumns count="8">
    <tableColumn id="1" xr3:uid="{394AE471-6B94-C643-A5BF-7D1A61F289BC}" name="Region" dataDxfId="2023"/>
    <tableColumn id="2" xr3:uid="{D9EB121A-673D-3644-B6AF-E0113FC30C32}" name="No Difficulty" dataDxfId="2022"/>
    <tableColumn id="3" xr3:uid="{15A4A8E1-DFF4-C44E-9ED5-D0FDE8FC32AA}" name="Seeing" dataDxfId="2021"/>
    <tableColumn id="4" xr3:uid="{3DDF6988-1625-844F-A530-D11124D5732E}" name="Hearing" dataDxfId="2020"/>
    <tableColumn id="5" xr3:uid="{E57B17B2-C12B-CC4E-9B66-660ADA48CF20}" name="Mobility" dataDxfId="2019"/>
    <tableColumn id="6" xr3:uid="{23F3EBB8-99E4-FE41-AADE-251DAA657DC9}" name="Cognition" dataDxfId="2018"/>
    <tableColumn id="7" xr3:uid="{2CEC6FC6-95A9-114E-A5BF-0C8C521F3221}" name="Self-Care" dataDxfId="2017"/>
    <tableColumn id="8" xr3:uid="{D5CC9478-F98F-B445-8730-5FF652AA2C1E}" name="Communication" dataDxfId="2016"/>
  </tableColumns>
  <tableStyleInfo name="TableStyleMedium2" showFirstColumn="1" showLastColumn="0" showRowStripes="1" showColumnStripes="0"/>
</table>
</file>

<file path=xl/tables/table2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9" xr:uid="{DCD0903F-AAFD-A747-9B43-9DCB9994E751}" name="Table_M1.1.c_Multidimensional_poverty_headcount_for_all_adults_Percentage_disaggregation_c" displayName="Table_M1.1.c_Multidimensional_poverty_headcount_for_all_adults_Percentage_disaggregation_c" ref="P2:T7" totalsRowShown="0" headerRowDxfId="150" dataDxfId="149">
  <autoFilter ref="P2:T7" xr:uid="{DCD0903F-AAFD-A747-9B43-9DCB9994E751}"/>
  <tableColumns count="5">
    <tableColumn id="1" xr3:uid="{DABCFF78-76D3-F149-A00B-8E28522B3CA9}" name="Region" dataDxfId="148"/>
    <tableColumn id="2" xr3:uid="{48096308-2AC5-3543-BC9F-0287286020E6}" name="No or some difficulty" dataDxfId="147"/>
    <tableColumn id="3" xr3:uid="{1FAAE870-B449-264A-9503-F70355F56009}" name="At least a lot of difficulty" dataDxfId="146"/>
    <tableColumn id="4" xr3:uid="{4A638DE1-5B3F-6140-9999-290A04EE0DE1}" name="Difference" dataDxfId="145"/>
    <tableColumn id="5" xr3:uid="{0CBE4009-B7BC-174D-B96B-55390D55467E}" name="Statistical Significance of the Difference" dataDxfId="144"/>
  </tableColumns>
  <tableStyleInfo name="TableStyleMedium2" showFirstColumn="1" showLastColumn="0" showRowStripes="1" showColumnStripes="0"/>
</table>
</file>

<file path=xl/tables/table2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54BC97A6-38EA-C041-8DD6-4AC47D88879D}" name="Table_M1.2.a_Multidimensional_poverty_headcount_for_females_Percentage_disaggregation_a" displayName="Table_M1.2.a_Multidimensional_poverty_headcount_for_females_Percentage_disaggregation_a" ref="A10:E15" totalsRowShown="0" headerRowDxfId="143" dataDxfId="142">
  <autoFilter ref="A10:E15" xr:uid="{54BC97A6-38EA-C041-8DD6-4AC47D88879D}"/>
  <tableColumns count="5">
    <tableColumn id="1" xr3:uid="{2BCA508A-5B2E-BA47-B1B5-65083E4F7088}" name="Region" dataDxfId="141"/>
    <tableColumn id="2" xr3:uid="{B3D3C66A-6D39-0F45-8F0B-834348916324}" name="No difficulty" dataDxfId="140"/>
    <tableColumn id="3" xr3:uid="{E4FD0A3A-40E5-6042-8621-9B865E59A6F0}" name="Any difficulty" dataDxfId="139"/>
    <tableColumn id="4" xr3:uid="{E8FBDC0F-833F-CA46-86F1-20EFCB07A0F3}" name="Difference" dataDxfId="138"/>
    <tableColumn id="5" xr3:uid="{1ADB3886-3C7E-F84A-B58B-0B2A4D3B6EF7}" name="Statistical Significance of the Difference" dataDxfId="137"/>
  </tableColumns>
  <tableStyleInfo name="TableStyleMedium2" showFirstColumn="1" showLastColumn="0" showRowStripes="1" showColumnStripes="0"/>
</table>
</file>

<file path=xl/tables/table2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1" xr:uid="{8BE423B2-21BF-D943-A683-11A413BBB904}" name="Table_M1.2.b_Multidimensional_poverty_headcount_for_females_Percentage_disaggregation_b" displayName="Table_M1.2.b_Multidimensional_poverty_headcount_for_females_Percentage_disaggregation_b" ref="G10:N15" totalsRowShown="0" headerRowDxfId="136" dataDxfId="135">
  <autoFilter ref="G10:N15" xr:uid="{8BE423B2-21BF-D943-A683-11A413BBB904}"/>
  <tableColumns count="8">
    <tableColumn id="1" xr3:uid="{B9040E0D-CFC3-6647-A3DA-6C3E29938040}" name="Region" dataDxfId="134"/>
    <tableColumn id="2" xr3:uid="{35AD59A7-0C8B-964E-BB31-0EB3BD3FC38B}" name="No difficulty" dataDxfId="133"/>
    <tableColumn id="3" xr3:uid="{C3EA4F92-8164-B540-863D-11A64CF25BDA}" name="Some difficulty" dataDxfId="132"/>
    <tableColumn id="4" xr3:uid="{137C6097-2773-B547-8D59-219D13C927CA}" name="Difference" dataDxfId="131"/>
    <tableColumn id="5" xr3:uid="{2A7047C4-6695-A346-BD87-BCF0D19B81DC}" name="Statistical Significance of the Difference" dataDxfId="130"/>
    <tableColumn id="6" xr3:uid="{E6A4BA8A-3EEC-AF45-9F3C-0AD5DCC888DB}" name="At least a lot of difficulty" dataDxfId="129"/>
    <tableColumn id="7" xr3:uid="{FB810D43-59D2-7E42-BA6E-00271EF27B82}" name="Difference No difficulty &amp; At least a lot of difficulty" dataDxfId="128"/>
    <tableColumn id="8" xr3:uid="{D0285B0F-1C14-1A4F-AC81-8E6F3A19353B}" name="Statistical Significance of the Difference (No difficulty vs At least a lot)" dataDxfId="127"/>
  </tableColumns>
  <tableStyleInfo name="TableStyleMedium2" showFirstColumn="1" showLastColumn="0" showRowStripes="1" showColumnStripes="0"/>
</table>
</file>

<file path=xl/tables/table2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2" xr:uid="{EB63A014-B9B1-CB41-A9DD-E7C7556D2182}" name="Table_M1.2.c_Multidimensional_poverty_headcount_for_females_Percentage_disaggregation_c" displayName="Table_M1.2.c_Multidimensional_poverty_headcount_for_females_Percentage_disaggregation_c" ref="P10:T15" totalsRowShown="0" headerRowDxfId="126" dataDxfId="125">
  <autoFilter ref="P10:T15" xr:uid="{EB63A014-B9B1-CB41-A9DD-E7C7556D2182}"/>
  <tableColumns count="5">
    <tableColumn id="1" xr3:uid="{DBF7F6DD-A607-8845-B55C-E49B12F15A8E}" name="Region" dataDxfId="124"/>
    <tableColumn id="2" xr3:uid="{544DF68F-BFF6-514A-A141-8C5640FEEE04}" name="No or some difficulty" dataDxfId="123"/>
    <tableColumn id="3" xr3:uid="{F892E7F3-494E-C24B-8EB3-4C754A17E9F5}" name="At least a lot of difficulty" dataDxfId="122"/>
    <tableColumn id="4" xr3:uid="{A37D4874-E754-7C41-B449-8D1B319B01D6}" name="Difference" dataDxfId="121"/>
    <tableColumn id="5" xr3:uid="{9AC3AE0E-3E57-484D-B89E-BAED642BC05D}" name="Statistical Significance of the Difference" dataDxfId="120"/>
  </tableColumns>
  <tableStyleInfo name="TableStyleMedium2" showFirstColumn="1" showLastColumn="0" showRowStripes="1" showColumnStripes="0"/>
</table>
</file>

<file path=xl/tables/table2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3" xr:uid="{82617280-6171-F240-9893-B3D88CD39754}" name="Table_M1.3.a_Multidimensional_poverty_headcount_for_males_Percentage_disaggregation_a" displayName="Table_M1.3.a_Multidimensional_poverty_headcount_for_males_Percentage_disaggregation_a" ref="A18:E23" totalsRowShown="0" headerRowDxfId="119" dataDxfId="118">
  <autoFilter ref="A18:E23" xr:uid="{82617280-6171-F240-9893-B3D88CD39754}"/>
  <tableColumns count="5">
    <tableColumn id="1" xr3:uid="{7F885612-9E07-1C48-BE82-248E394754FD}" name="Region" dataDxfId="117"/>
    <tableColumn id="2" xr3:uid="{4E5CBC0E-0A1C-F44C-94F3-86D13EF1EA1A}" name="No difficulty" dataDxfId="116"/>
    <tableColumn id="3" xr3:uid="{484EC437-679A-7F43-93C4-46259906A66E}" name="Any difficulty" dataDxfId="115"/>
    <tableColumn id="4" xr3:uid="{C38F6A62-5192-8E44-82A8-FB7D70F5F8A5}" name="Difference" dataDxfId="114"/>
    <tableColumn id="5" xr3:uid="{87ACAA6D-E511-0044-AB03-06DB37DCC06C}" name="Statistical Significance of the Difference" dataDxfId="113"/>
  </tableColumns>
  <tableStyleInfo name="TableStyleMedium2" showFirstColumn="1" showLastColumn="0" showRowStripes="1" showColumnStripes="0"/>
</table>
</file>

<file path=xl/tables/table2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4" xr:uid="{12E47994-7C17-B24F-84B2-87A2B1FFE08D}" name="Table_M1.3.b_Multidimensional_poverty_headcount_for_males_Percentage_disaggregation_b" displayName="Table_M1.3.b_Multidimensional_poverty_headcount_for_males_Percentage_disaggregation_b" ref="G18:N23" totalsRowShown="0" headerRowDxfId="112" dataDxfId="111">
  <autoFilter ref="G18:N23" xr:uid="{12E47994-7C17-B24F-84B2-87A2B1FFE08D}"/>
  <tableColumns count="8">
    <tableColumn id="1" xr3:uid="{3746D985-4A32-6D4E-8A39-EF06BCAF27CF}" name="Region" dataDxfId="110"/>
    <tableColumn id="2" xr3:uid="{D6344002-5D34-904C-AC37-8B9EEB1CBB89}" name="No difficulty" dataDxfId="109"/>
    <tableColumn id="3" xr3:uid="{97A981BD-1FDD-DA49-B0D5-0D24FC5CCEB9}" name="Some difficulty" dataDxfId="108"/>
    <tableColumn id="4" xr3:uid="{98557994-46FE-EB4F-B5D4-7D7CED689EA7}" name="Difference" dataDxfId="107"/>
    <tableColumn id="5" xr3:uid="{8FA8C016-20BF-1244-9FD3-D71910A3DED5}" name="Statistical Significance of the Difference" dataDxfId="106"/>
    <tableColumn id="6" xr3:uid="{6C2DA2D4-3C60-934E-97EB-DB16BEE2EBCA}" name="At least a lot of difficulty" dataDxfId="105"/>
    <tableColumn id="7" xr3:uid="{A228B434-E768-4D41-8FBF-4112921E3ED7}" name="Difference No difficulty &amp; At least a lot of difficulty" dataDxfId="104"/>
    <tableColumn id="8" xr3:uid="{C3BC764A-19A8-BE41-B987-DCAC79747FE4}" name="Statistical Significance of the Difference (No difficulty vs At least a lot)" dataDxfId="103"/>
  </tableColumns>
  <tableStyleInfo name="TableStyleMedium2" showFirstColumn="1" showLastColumn="0" showRowStripes="1" showColumnStripes="0"/>
</table>
</file>

<file path=xl/tables/table2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5" xr:uid="{70DCDBD0-B4FE-194D-AD80-B3AF21CCF1B8}" name="Table_M1.3.c_Multidimensional_poverty_headcount_for_males_Percentage_disaggregation_c" displayName="Table_M1.3.c_Multidimensional_poverty_headcount_for_males_Percentage_disaggregation_c" ref="P18:T23" totalsRowShown="0" headerRowDxfId="102" dataDxfId="101">
  <autoFilter ref="P18:T23" xr:uid="{70DCDBD0-B4FE-194D-AD80-B3AF21CCF1B8}"/>
  <tableColumns count="5">
    <tableColumn id="1" xr3:uid="{92135565-B571-7146-A6E2-67D03E26A621}" name="Region" dataDxfId="100"/>
    <tableColumn id="2" xr3:uid="{5255F397-3EFA-A640-890C-A34C61114C29}" name="No or some difficulty" dataDxfId="99"/>
    <tableColumn id="3" xr3:uid="{1D752AAE-66BF-744E-8535-3FCD244E0854}" name="At least a lot of difficulty" dataDxfId="98"/>
    <tableColumn id="4" xr3:uid="{2981D84F-386D-B147-9243-EF474AC266CF}" name="Difference" dataDxfId="97"/>
    <tableColumn id="5" xr3:uid="{C9CBC006-AA85-F949-A63F-F0D73079591C}" name="Statistical Significance of the Difference" dataDxfId="96"/>
  </tableColumns>
  <tableStyleInfo name="TableStyleMedium2" showFirstColumn="1" showLastColumn="0" showRowStripes="1" showColumnStripes="0"/>
</table>
</file>

<file path=xl/tables/table2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6" xr:uid="{ACF2D286-10EE-B340-A764-994CB8AAD10D}" name="Table_M1.4.a_Multidimensional_poverty_headcount_for_rural_residents_Percentage_disaggregation_a" displayName="Table_M1.4.a_Multidimensional_poverty_headcount_for_rural_residents_Percentage_disaggregation_a" ref="A26:E31" totalsRowShown="0" headerRowDxfId="95" dataDxfId="94">
  <autoFilter ref="A26:E31" xr:uid="{ACF2D286-10EE-B340-A764-994CB8AAD10D}"/>
  <tableColumns count="5">
    <tableColumn id="1" xr3:uid="{6B99AC59-0EF9-6640-9400-41FC21713B18}" name="Region" dataDxfId="93"/>
    <tableColumn id="2" xr3:uid="{3756E6AA-45FB-FE4C-9532-F8BACA73E6FD}" name="No difficulty" dataDxfId="92"/>
    <tableColumn id="3" xr3:uid="{91995B1E-09A3-9342-A743-169EBD8F7530}" name="Any difficulty" dataDxfId="91"/>
    <tableColumn id="4" xr3:uid="{E37A20B7-ACA9-F545-BD21-1D25DA3DEAD8}" name="Difference" dataDxfId="90"/>
    <tableColumn id="5" xr3:uid="{E77A4146-3E12-884A-8891-D1073EDE24B3}" name="Statistical Significance of the Difference" dataDxfId="89"/>
  </tableColumns>
  <tableStyleInfo name="TableStyleMedium2" showFirstColumn="1" showLastColumn="0" showRowStripes="1" showColumnStripes="0"/>
</table>
</file>

<file path=xl/tables/table2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7" xr:uid="{C2C10A17-290E-B048-AC56-E1F9636C9734}" name="Table_M1.4.b_Multidimensional_poverty_headcount_for_rural_residents_Percentage_disaggregation_b" displayName="Table_M1.4.b_Multidimensional_poverty_headcount_for_rural_residents_Percentage_disaggregation_b" ref="G26:N31" totalsRowShown="0" headerRowDxfId="88" dataDxfId="87">
  <autoFilter ref="G26:N31" xr:uid="{C2C10A17-290E-B048-AC56-E1F9636C9734}"/>
  <tableColumns count="8">
    <tableColumn id="1" xr3:uid="{20E98740-A02B-894B-A6F5-1A419D7E8FDC}" name="Region" dataDxfId="86"/>
    <tableColumn id="2" xr3:uid="{B2773BFF-8B06-7342-980D-BDBB71A889F3}" name="No difficulty" dataDxfId="85"/>
    <tableColumn id="3" xr3:uid="{71002BF1-3EEF-AE47-9433-09C01ACEB1EA}" name="Some difficulty" dataDxfId="84"/>
    <tableColumn id="4" xr3:uid="{E25197B3-D233-0D4E-B1AA-D16FA884FCCC}" name="Difference" dataDxfId="83"/>
    <tableColumn id="5" xr3:uid="{74CD5280-F669-8641-A180-77949C6E968F}" name="Statistical Significance of the Difference" dataDxfId="82"/>
    <tableColumn id="6" xr3:uid="{B4E85816-21A8-5046-BC62-1FEB6161F9A0}" name="At least a lot of difficulty" dataDxfId="81"/>
    <tableColumn id="7" xr3:uid="{5B65D7E5-F663-6348-896C-1CBA55C05336}" name="Difference No difficulty &amp; At least a lot of difficulty" dataDxfId="80"/>
    <tableColumn id="8" xr3:uid="{1A02269E-9B60-064E-8367-C35CA4308B1D}" name="Statistical Significance of the Difference (No difficulty vs At least a lot)" dataDxfId="79">
      <calculatedColumnFormula>IF(       0&lt;0.01,"***",IF(       0&lt;0.05,"**",IF(       0&lt;0.1,"*","NS")))</calculatedColumnFormula>
    </tableColumn>
  </tableColumns>
  <tableStyleInfo name="TableStyleMedium2" showFirstColumn="1" showLastColumn="0" showRowStripes="1" showColumnStripes="0"/>
</table>
</file>

<file path=xl/tables/table2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8" xr:uid="{D396E488-DB0C-6247-9455-5517A1903495}" name="Table_M1.4.c_Multidimensional_poverty_headcount_for_rural_residents_Percentage_disaggregation_c" displayName="Table_M1.4.c_Multidimensional_poverty_headcount_for_rural_residents_Percentage_disaggregation_c" ref="P26:T31" totalsRowShown="0" headerRowDxfId="78" dataDxfId="77">
  <autoFilter ref="P26:T31" xr:uid="{D396E488-DB0C-6247-9455-5517A1903495}"/>
  <tableColumns count="5">
    <tableColumn id="1" xr3:uid="{7EF5FEDB-83C4-C943-950C-6D56C5BB3A53}" name="Region" dataDxfId="76"/>
    <tableColumn id="2" xr3:uid="{05937145-B32C-164A-865F-7989102DEF96}" name="No or some difficulty" dataDxfId="75"/>
    <tableColumn id="3" xr3:uid="{14BD50BE-2BA7-FA49-AA4C-A8591F7571FF}" name="At least a lot of difficulty" dataDxfId="74"/>
    <tableColumn id="4" xr3:uid="{C8360D08-5EB9-D04E-91DD-B18501492D34}" name="Difference" dataDxfId="73"/>
    <tableColumn id="5" xr3:uid="{54F58EB8-584A-804B-8032-59EDE6E1CFA3}" name="Statistical Significance of the Difference" dataDxfId="72"/>
  </tableColumns>
  <tableStyleInfo name="TableStyleMedium2" showFirstColumn="1"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B618E21-66DB-9641-8D92-88AD3BE3AD39}" name="Table_E1.1.a_Share_of_all_adults_who_have_ever_attended_school_Percentage_disaggregation_a" displayName="Table_E1.1.a_Share_of_all_adults_who_have_ever_attended_school_Percentage_disaggregation_a" ref="A2:E7" totalsRowShown="0" headerRowDxfId="2015" dataDxfId="2014">
  <autoFilter ref="A2:E7" xr:uid="{2B618E21-66DB-9641-8D92-88AD3BE3AD39}"/>
  <tableColumns count="5">
    <tableColumn id="1" xr3:uid="{963EADED-7D70-5D4D-8150-B308FB70143A}" name="Region" dataDxfId="2013"/>
    <tableColumn id="2" xr3:uid="{07D88DF6-DC36-0D4B-9585-838E2A542135}" name="No difficulty" dataDxfId="2012"/>
    <tableColumn id="3" xr3:uid="{09F22571-4C5B-0843-927A-5E1A5AE53A44}" name="Any difficulty" dataDxfId="2011"/>
    <tableColumn id="4" xr3:uid="{C62DD6F4-8A8C-BA49-BE74-60985D5E73C9}" name="Difference" dataDxfId="2010"/>
    <tableColumn id="5" xr3:uid="{38F9427A-514B-A64B-A257-6D852045AFEC}" name="Statistical Significance of the Difference" dataDxfId="2009">
      <calculatedColumnFormula>IF(       0&lt;0.01,"***",IF(       0&lt;0.05,"**",IF(       0&lt;0.1,"*","NS")))</calculatedColumnFormula>
    </tableColumn>
  </tableColumns>
  <tableStyleInfo name="TableStyleMedium2" showFirstColumn="1" showLastColumn="0" showRowStripes="1" showColumnStripes="0"/>
</table>
</file>

<file path=xl/tables/table2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9" xr:uid="{263B115A-57C6-3A43-82B8-B85DD71C7847}" name="Table_M1.5.a_Multidimensional_poverty_headcount_for_urban_residents_Percentage_disaggregation_a" displayName="Table_M1.5.a_Multidimensional_poverty_headcount_for_urban_residents_Percentage_disaggregation_a" ref="A34:E39" totalsRowShown="0" headerRowDxfId="71" dataDxfId="70">
  <autoFilter ref="A34:E39" xr:uid="{263B115A-57C6-3A43-82B8-B85DD71C7847}"/>
  <tableColumns count="5">
    <tableColumn id="1" xr3:uid="{769CBCB2-26EA-2C4C-9DF6-597FB9496EFA}" name="Region" dataDxfId="69"/>
    <tableColumn id="2" xr3:uid="{54C681AE-1CAA-B043-AD21-5CB9602D8027}" name="No difficulty" dataDxfId="68"/>
    <tableColumn id="3" xr3:uid="{C0A5FBB3-F5FF-8C40-9CDA-23F791F677E9}" name="Any difficulty" dataDxfId="67"/>
    <tableColumn id="4" xr3:uid="{6D3D3FA1-7981-694F-A35B-356A4F39160A}" name="Difference" dataDxfId="66"/>
    <tableColumn id="5" xr3:uid="{9B8205ED-928C-174E-BBCD-298BC5B7ADC7}" name="Statistical Significance of the Difference" dataDxfId="65"/>
  </tableColumns>
  <tableStyleInfo name="TableStyleMedium2" showFirstColumn="1" showLastColumn="0" showRowStripes="1" showColumnStripes="0"/>
</table>
</file>

<file path=xl/tables/table2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0" xr:uid="{BB2DC99E-3978-9545-83AB-1C3B3F1F035F}" name="Table_M1.5.b_Multidimensional_poverty_headcount_for_urban_residents_Percentage_disaggregation_b" displayName="Table_M1.5.b_Multidimensional_poverty_headcount_for_urban_residents_Percentage_disaggregation_b" ref="G34:N39" totalsRowShown="0" headerRowDxfId="64" dataDxfId="63">
  <autoFilter ref="G34:N39" xr:uid="{BB2DC99E-3978-9545-83AB-1C3B3F1F035F}"/>
  <tableColumns count="8">
    <tableColumn id="1" xr3:uid="{A1F17D14-E785-244D-BD75-5230BD49B02D}" name="Region" dataDxfId="62"/>
    <tableColumn id="2" xr3:uid="{FAE314C6-474B-1B42-9120-AA3005C40412}" name="No difficulty" dataDxfId="61"/>
    <tableColumn id="3" xr3:uid="{BA64B7D6-48A7-834C-BBB5-173A5604793A}" name="Some difficulty" dataDxfId="60"/>
    <tableColumn id="4" xr3:uid="{EDA45E5E-A6BB-754C-9F2A-1FDEAB60D3B1}" name="Difference" dataDxfId="59"/>
    <tableColumn id="5" xr3:uid="{8246A37B-C440-B844-A6F4-BCE01E2967CD}" name="Statistical Significance of the Difference" dataDxfId="58"/>
    <tableColumn id="6" xr3:uid="{4F1D250C-A5B6-6B4C-90B2-ECEA5370FCBF}" name="At least a lot of difficulty" dataDxfId="57"/>
    <tableColumn id="7" xr3:uid="{AFDC1733-300D-6D46-8E7A-2EC25D0D7985}" name="Difference No difficulty &amp; At least a lot of difficulty" dataDxfId="56"/>
    <tableColumn id="8" xr3:uid="{343D1421-9659-4C43-8D4E-B8BDF3FE6BF8}" name="Statistical Significance of the Difference (No difficulty vs At least a lot)" dataDxfId="55"/>
  </tableColumns>
  <tableStyleInfo name="TableStyleMedium2" showFirstColumn="1" showLastColumn="0" showRowStripes="1" showColumnStripes="0"/>
</table>
</file>

<file path=xl/tables/table2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1" xr:uid="{D6C57468-103B-F344-B7EB-A7A0FA79901A}" name="Table_M1.5.c_Multidimensional_poverty_headcount_for_urban_residents_Percentage_disaggregation_c" displayName="Table_M1.5.c_Multidimensional_poverty_headcount_for_urban_residents_Percentage_disaggregation_c" ref="P34:T39" totalsRowShown="0" headerRowDxfId="54" dataDxfId="53">
  <autoFilter ref="P34:T39" xr:uid="{D6C57468-103B-F344-B7EB-A7A0FA79901A}"/>
  <tableColumns count="5">
    <tableColumn id="1" xr3:uid="{747237C2-EA2B-7C44-82A5-04F7B0128A4B}" name="Region" dataDxfId="52"/>
    <tableColumn id="2" xr3:uid="{99C20011-05C3-FC46-8AEC-1098D35DF37C}" name="No or some difficulty" dataDxfId="51"/>
    <tableColumn id="3" xr3:uid="{B168B6D3-0C76-2C4C-94D6-47A5FABC419C}" name="At least a lot of difficulty" dataDxfId="50"/>
    <tableColumn id="4" xr3:uid="{DB4CFCB4-D793-1B4A-A7C7-69EAF237C59D}" name="Difference" dataDxfId="49"/>
    <tableColumn id="5" xr3:uid="{F653C439-7203-CD44-82C3-07903B7A0C1E}" name="Statistical Significance of the Difference" dataDxfId="48"/>
  </tableColumns>
  <tableStyleInfo name="TableStyleMedium2" showFirstColumn="1" showLastColumn="0" showRowStripes="1" showColumnStripes="0"/>
</table>
</file>

<file path=xl/tables/table2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62C5CDCF-EFDD-7740-984A-A08A6E68A170}" name="Table_M1.6.a_Multidimensional_poverty_headcount_for_adults_ages_15_to_44_Percentage_disaggregation_a" displayName="Table_M1.6.a_Multidimensional_poverty_headcount_for_adults_ages_15_to_44_Percentage_disaggregation_a" ref="A42:E47" totalsRowShown="0" headerRowDxfId="47" dataDxfId="46">
  <autoFilter ref="A42:E47" xr:uid="{62C5CDCF-EFDD-7740-984A-A08A6E68A170}"/>
  <tableColumns count="5">
    <tableColumn id="1" xr3:uid="{0503E05F-7AE3-4A46-BE45-88419BEB18B8}" name="Region" dataDxfId="45"/>
    <tableColumn id="2" xr3:uid="{5DA2926E-3778-AA45-9E89-FA85842B37B2}" name="No difficulty" dataDxfId="44"/>
    <tableColumn id="3" xr3:uid="{40525358-FA51-1E47-8F9A-8FC19F6ECF00}" name="Any difficulty" dataDxfId="43"/>
    <tableColumn id="4" xr3:uid="{0030D75D-6C0A-004A-BF8A-04A96FAACCA7}" name="Difference" dataDxfId="42"/>
    <tableColumn id="5" xr3:uid="{BB1406A9-32F0-0141-9486-56F684C511E2}" name="Statistical Significance of the Difference" dataDxfId="41"/>
  </tableColumns>
  <tableStyleInfo name="TableStyleMedium2" showFirstColumn="1" showLastColumn="0" showRowStripes="1" showColumnStripes="0"/>
</table>
</file>

<file path=xl/tables/table2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60116CC7-A6E6-1941-A985-E291A37A29F5}" name="Table_M1.6.b_Multidimensional_poverty_headcount_for_adults_ages_15_to_44_Percentage_disaggregation_b" displayName="Table_M1.6.b_Multidimensional_poverty_headcount_for_adults_ages_15_to_44_Percentage_disaggregation_b" ref="G42:N47" totalsRowShown="0" headerRowDxfId="40" dataDxfId="39">
  <autoFilter ref="G42:N47" xr:uid="{60116CC7-A6E6-1941-A985-E291A37A29F5}"/>
  <tableColumns count="8">
    <tableColumn id="1" xr3:uid="{3A7DFB0A-B247-7B41-A598-577CFFFD69AA}" name="Region" dataDxfId="38"/>
    <tableColumn id="2" xr3:uid="{772852DE-C675-4E48-8598-887939E2DF8E}" name="No difficulty" dataDxfId="37"/>
    <tableColumn id="3" xr3:uid="{3FCBBBA2-76A9-0643-9627-ADE8FA1977E0}" name="Some difficulty" dataDxfId="36"/>
    <tableColumn id="4" xr3:uid="{67A8B118-A139-8543-B9A2-F087C65DF198}" name="Difference" dataDxfId="35"/>
    <tableColumn id="5" xr3:uid="{5F2CB5F9-438B-404B-AC8C-3A15C79253FD}" name="Statistical Significance of the Difference" dataDxfId="34"/>
    <tableColumn id="6" xr3:uid="{285F18AA-447B-634C-A25B-4BA3DA844672}" name="At least a lot of difficulty" dataDxfId="33"/>
    <tableColumn id="7" xr3:uid="{EDBF59A4-DC75-B148-86D9-9C1D493CB724}" name="Difference No difficulty &amp; At least a lot of difficulty" dataDxfId="32"/>
    <tableColumn id="8" xr3:uid="{F606AEA8-EAE1-934F-B9CF-194CC5748AE9}" name="Statistical Significance of the Difference (No difficulty vs At least a lot)" dataDxfId="31"/>
  </tableColumns>
  <tableStyleInfo name="TableStyleMedium2" showFirstColumn="1" showLastColumn="0" showRowStripes="1" showColumnStripes="0"/>
</table>
</file>

<file path=xl/tables/table2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4" xr:uid="{E1EC9A6F-BBB8-1B4A-B036-AC22A972DDFC}" name="Table_M1.6.c_Multidimensional_poverty_headcount_for_adults_ages_15_to_44_Percentage_disaggregation_c" displayName="Table_M1.6.c_Multidimensional_poverty_headcount_for_adults_ages_15_to_44_Percentage_disaggregation_c" ref="P42:T47" totalsRowShown="0" headerRowDxfId="30" dataDxfId="29">
  <autoFilter ref="P42:T47" xr:uid="{E1EC9A6F-BBB8-1B4A-B036-AC22A972DDFC}"/>
  <tableColumns count="5">
    <tableColumn id="1" xr3:uid="{91D1ECE7-84DE-F44D-96DE-81B02A3F797D}" name="Region" dataDxfId="28"/>
    <tableColumn id="2" xr3:uid="{7671E729-6722-EF49-BB68-CC8898E0EEDE}" name="No or some difficulty" dataDxfId="27"/>
    <tableColumn id="3" xr3:uid="{2A6062C1-C543-8945-AAEB-4C754ACDBF4D}" name="At least a lot of difficulty" dataDxfId="26"/>
    <tableColumn id="4" xr3:uid="{2E221BA3-5395-CC4D-9833-AAD0F94E0B01}" name="Difference" dataDxfId="25"/>
    <tableColumn id="5" xr3:uid="{BA8354CD-1E29-FF42-A0C8-EC2BABFCD0BC}" name="Statistical Significance of the Difference" dataDxfId="24"/>
  </tableColumns>
  <tableStyleInfo name="TableStyleMedium2" showFirstColumn="1" showLastColumn="0" showRowStripes="1" showColumnStripes="0"/>
</table>
</file>

<file path=xl/tables/table2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5" xr:uid="{80B5D3FA-B33A-B343-972E-493C82CA7B2F}" name="Table_M1.7.a_Multidimensional_poverty_headcount_for_adults_ages_45_and_older_Percentage_disaggregation_a" displayName="Table_M1.7.a_Multidimensional_poverty_headcount_for_adults_ages_45_and_older_Percentage_disaggregation_a" ref="A50:E55" totalsRowShown="0" headerRowDxfId="23" dataDxfId="22">
  <autoFilter ref="A50:E55" xr:uid="{80B5D3FA-B33A-B343-972E-493C82CA7B2F}"/>
  <tableColumns count="5">
    <tableColumn id="1" xr3:uid="{375F46DE-0E81-FB47-B988-911ABD109632}" name="Region" dataDxfId="21"/>
    <tableColumn id="2" xr3:uid="{AB9C934E-8190-394F-9D4F-936F70079308}" name="No difficulty" dataDxfId="20"/>
    <tableColumn id="3" xr3:uid="{2F3BD596-9902-EA43-9620-44A02B373511}" name="Any difficulty" dataDxfId="19"/>
    <tableColumn id="4" xr3:uid="{3D65C536-A1FD-8944-8AA0-69A929C37ED4}" name="Difference" dataDxfId="18"/>
    <tableColumn id="5" xr3:uid="{8A86E51C-6B74-824D-8303-E5F9E9B64A7F}" name="Statistical Significance of the Difference" dataDxfId="17"/>
  </tableColumns>
  <tableStyleInfo name="TableStyleMedium2" showFirstColumn="1" showLastColumn="0" showRowStripes="1" showColumnStripes="0"/>
</table>
</file>

<file path=xl/tables/table2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6" xr:uid="{906A768F-DB08-3446-BF55-426CD8EC4CFA}" name="Table_M1.7.b_Multidimensional_poverty_headcount_for_adults_ages_45_and_older_Percentage_disaggregation_b" displayName="Table_M1.7.b_Multidimensional_poverty_headcount_for_adults_ages_45_and_older_Percentage_disaggregation_b" ref="G50:N55" totalsRowShown="0" headerRowDxfId="16" dataDxfId="15">
  <autoFilter ref="G50:N55" xr:uid="{906A768F-DB08-3446-BF55-426CD8EC4CFA}"/>
  <tableColumns count="8">
    <tableColumn id="1" xr3:uid="{C4A87E82-6032-0749-A0EC-D628292B5D46}" name="Region" dataDxfId="14"/>
    <tableColumn id="2" xr3:uid="{616E52E7-8F2C-EC40-9882-F5F42B10D906}" name="No difficulty" dataDxfId="13"/>
    <tableColumn id="3" xr3:uid="{DFC04C53-EEDB-7B41-9A33-4F8D6B8D029A}" name="Some difficulty" dataDxfId="12"/>
    <tableColumn id="4" xr3:uid="{2F19D882-AF11-DF4A-B0BD-939942034244}" name="Difference" dataDxfId="11"/>
    <tableColumn id="5" xr3:uid="{6DE1902A-5AD3-6648-A76C-90B864326A1D}" name="Statistical Significance of the Difference" dataDxfId="10"/>
    <tableColumn id="6" xr3:uid="{37CB0AEB-7EAC-5048-8E3D-7D44CC000675}" name="At least a lot of difficulty" dataDxfId="9"/>
    <tableColumn id="7" xr3:uid="{893517C2-E023-9848-9346-D9C7675AF948}" name="Difference No difficulty &amp; At least a lot of difficulty" dataDxfId="8"/>
    <tableColumn id="8" xr3:uid="{2846B4EE-2B73-D14A-8C06-CE2AE0D65474}" name="Statistical Significance of the Difference (No difficulty vs At least a lot)" dataDxfId="7"/>
  </tableColumns>
  <tableStyleInfo name="TableStyleMedium2" showFirstColumn="1" showLastColumn="0" showRowStripes="1" showColumnStripes="0"/>
</table>
</file>

<file path=xl/tables/table2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7" xr:uid="{72710B67-B707-DD40-8B41-423DC896C8FA}" name="Table_M1.7.c_Multidimensional_poverty_headcount_for_adults_ages_45_and_older_Percentage_disaggregation_c" displayName="Table_M1.7.c_Multidimensional_poverty_headcount_for_adults_ages_45_and_older_Percentage_disaggregation_c" ref="P50:T55" totalsRowShown="0" headerRowDxfId="6" dataDxfId="5">
  <autoFilter ref="P50:T55" xr:uid="{72710B67-B707-DD40-8B41-423DC896C8FA}"/>
  <tableColumns count="5">
    <tableColumn id="1" xr3:uid="{7B9F2570-1D92-8D4F-B091-DDF2C2286572}" name="Region" dataDxfId="4"/>
    <tableColumn id="2" xr3:uid="{940A5A72-4369-764E-83D6-AF44032EDBCE}" name="No or some difficulty" dataDxfId="3"/>
    <tableColumn id="3" xr3:uid="{5DC4A78F-1FD4-514E-B79C-C33C698426F3}" name="At least a lot of difficulty" dataDxfId="2"/>
    <tableColumn id="4" xr3:uid="{D5034FFF-D4B4-8F4C-A6F3-540B941000E5}" name="Difference" dataDxfId="1"/>
    <tableColumn id="5" xr3:uid="{0CBC24A9-F0B0-604E-B813-066DF9EB5251}" name="Statistical Significance of the Difference" dataDxfId="0"/>
  </tableColumns>
  <tableStyleInfo name="TableStyleMedium2" showFirstColumn="1"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EA6797F-EEC9-3146-B4C2-4178D252AF99}" name="Table_E1.1.b_Share_of_all_adults_who_have_ever_attended_school_Percentage_disaggregation_b" displayName="Table_E1.1.b_Share_of_all_adults_who_have_ever_attended_school_Percentage_disaggregation_b" ref="G2:N7" totalsRowShown="0" headerRowDxfId="2008" dataDxfId="2007">
  <autoFilter ref="G2:N7" xr:uid="{9EA6797F-EEC9-3146-B4C2-4178D252AF99}"/>
  <tableColumns count="8">
    <tableColumn id="1" xr3:uid="{37FD0754-8C23-754D-8528-093E9B5BA671}" name="Region" dataDxfId="2006"/>
    <tableColumn id="2" xr3:uid="{2824D434-88FF-E447-9D0B-420EEEE6D691}" name="No difficulty" dataDxfId="2005"/>
    <tableColumn id="3" xr3:uid="{2C735C0D-6C2C-AC4C-946C-048C254C7C54}" name="Some difficulty" dataDxfId="2004"/>
    <tableColumn id="4" xr3:uid="{81B2A6F8-85DF-774E-A88D-34AF35ACE899}" name="Difference" dataDxfId="2003"/>
    <tableColumn id="5" xr3:uid="{2C4C9796-4B34-DB4A-AFDA-9367C98CCCF3}" name="Statistical Significance of the Difference" dataDxfId="2002"/>
    <tableColumn id="6" xr3:uid="{4FAD5041-4CAC-5740-AC00-1773ED2F5C2A}" name="At least a lot of difficulty" dataDxfId="2001"/>
    <tableColumn id="7" xr3:uid="{6CB49085-F595-4747-B51E-A07B1C69CD38}" name="Difference No difficulty &amp; At least a lot of difficulty" dataDxfId="2000"/>
    <tableColumn id="8" xr3:uid="{0C248081-B814-FB4F-BDA2-61389FD85039}" name="Statistical Significance of the Difference (No difficulty vs At least a lot)" dataDxfId="1999">
      <calculatedColumnFormula>IF(       0&lt;0.01,"***",IF(       0&lt;0.05,"**",IF(       0&lt;0.1,"*","NS")))</calculatedColumnFormula>
    </tableColumn>
  </tableColumns>
  <tableStyleInfo name="TableStyleMedium2" showFirstColumn="1"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7C68D5D2-3236-8845-B9FF-FCD7ED4CE4C0}" name="Table_E1.1.c_Share_of_all_adults_who_have_ever_attended_school_Percentage_disaggregation_c" displayName="Table_E1.1.c_Share_of_all_adults_who_have_ever_attended_school_Percentage_disaggregation_c" ref="P2:T7" totalsRowShown="0" headerRowDxfId="1998" dataDxfId="1997">
  <autoFilter ref="P2:T7" xr:uid="{7C68D5D2-3236-8845-B9FF-FCD7ED4CE4C0}"/>
  <tableColumns count="5">
    <tableColumn id="1" xr3:uid="{C04D24F4-6AC2-4F40-8FBF-F9F30E88EEC0}" name="Region" dataDxfId="1996"/>
    <tableColumn id="2" xr3:uid="{58E1ABBA-B497-374D-8FB5-9F4297EEC4AF}" name="No or some difficulty" dataDxfId="1995"/>
    <tableColumn id="3" xr3:uid="{A17FBB5D-37C9-8642-BFC6-CE55B4AAE595}" name="At least a lot of difficulty" dataDxfId="1994"/>
    <tableColumn id="4" xr3:uid="{0E0F21B1-BF61-CD43-AE11-A023AC9F80F0}" name="Difference" dataDxfId="1993"/>
    <tableColumn id="5" xr3:uid="{4706DC8D-3DB5-DF4E-8427-354DDCE8BC69}" name="Statistical Significance of the Difference" dataDxfId="1992">
      <calculatedColumnFormula>IF(       0&lt;0.01,"***",IF(       0&lt;0.05,"**",IF(       0&lt;0.1,"*","NS")))</calculatedColumnFormula>
    </tableColumn>
  </tableColumns>
  <tableStyleInfo name="TableStyleMedium2"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B2F2E07-823F-EC4E-84F0-1C8D7035045F}" name="Table_P1.2_Share_of_females_with_functional_difficulties_Percentage" displayName="Table_P1.2_Share_of_females_with_functional_difficulties_Percentage" ref="A10:D15" totalsRowShown="0" headerRowDxfId="2216" dataDxfId="2215">
  <autoFilter ref="A10:D15" xr:uid="{6B2F2E07-823F-EC4E-84F0-1C8D7035045F}"/>
  <tableColumns count="4">
    <tableColumn id="1" xr3:uid="{A4675201-B453-D94A-BD2D-612C151B3ECE}" name="Region" dataDxfId="2214"/>
    <tableColumn id="2" xr3:uid="{7CB68728-0244-934B-BB7F-131E1733F10E}" name="Any difficulty" dataDxfId="2213"/>
    <tableColumn id="3" xr3:uid="{32EDAD85-47E2-C347-B64B-2C502CEF97B3}" name="Some difficulty" dataDxfId="2212"/>
    <tableColumn id="4" xr3:uid="{C5CCBD39-1320-9842-9F9C-02478389B816}" name="At least a lot of difficulty" dataDxfId="2211"/>
  </tableColumns>
  <tableStyleInfo name="TableStyleMedium2" showFirstColumn="1"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2F15423-C3ED-3147-8A75-3439EC644BB3}" name="Table_E1.2.a_Share_of_females_who_have_ever_attended_school_Percentage_disaggregation_a" displayName="Table_E1.2.a_Share_of_females_who_have_ever_attended_school_Percentage_disaggregation_a" ref="A10:E15" totalsRowShown="0" headerRowDxfId="1991" dataDxfId="1990">
  <autoFilter ref="A10:E15" xr:uid="{22F15423-C3ED-3147-8A75-3439EC644BB3}"/>
  <tableColumns count="5">
    <tableColumn id="1" xr3:uid="{C4B7821C-5B21-3C4D-AA12-FA2A112D6786}" name="Region" dataDxfId="1989"/>
    <tableColumn id="2" xr3:uid="{0EFB2808-FF00-E04D-957C-4188EC535F0D}" name="No difficulty" dataDxfId="1988"/>
    <tableColumn id="3" xr3:uid="{645802FA-D604-9A49-8747-879C5D961563}" name="Any difficulty" dataDxfId="1987"/>
    <tableColumn id="4" xr3:uid="{7B7DF5B8-1106-6C43-A004-C817D7588D54}" name="Difference" dataDxfId="1986"/>
    <tableColumn id="5" xr3:uid="{0E10E089-0B43-5F4C-8500-4EEF45BDCCE1}" name="Statistical Significance of the Difference" dataDxfId="1985">
      <calculatedColumnFormula>IF(       0&lt;0.01,"***",IF(       0&lt;0.05,"**",IF(       0&lt;0.1,"*","NS")))</calculatedColumnFormula>
    </tableColumn>
  </tableColumns>
  <tableStyleInfo name="TableStyleMedium2" showFirstColumn="1"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4CFFDDEE-B410-4047-A3C8-F32DBACEDF18}" name="Table_E1.2.b_Share_of_females_who_have_ever_attended_school_Percentage_disaggregation_b" displayName="Table_E1.2.b_Share_of_females_who_have_ever_attended_school_Percentage_disaggregation_b" ref="G10:N15" totalsRowShown="0" headerRowDxfId="1984" dataDxfId="1983">
  <autoFilter ref="G10:N15" xr:uid="{4CFFDDEE-B410-4047-A3C8-F32DBACEDF18}"/>
  <tableColumns count="8">
    <tableColumn id="1" xr3:uid="{9533A08C-2392-A74B-97D9-4A8860CE651F}" name="Region" dataDxfId="1982"/>
    <tableColumn id="2" xr3:uid="{1C9BCB89-B60D-5E4B-9883-146C7E749026}" name="No difficulty" dataDxfId="1981"/>
    <tableColumn id="3" xr3:uid="{A3087A0A-EA2C-1245-9E11-DE34E163EFF4}" name="Some difficulty" dataDxfId="1980"/>
    <tableColumn id="4" xr3:uid="{74A40CAF-46DE-5147-9EAE-CC33D16878C4}" name="Difference" dataDxfId="1979"/>
    <tableColumn id="5" xr3:uid="{769186B4-A313-4C47-A8C0-59C1D02E110E}" name="Statistical Significance of the Difference" dataDxfId="1978"/>
    <tableColumn id="6" xr3:uid="{606D5600-544A-4E4B-B6A5-46345BDAB8C1}" name="At least a lot of difficulty" dataDxfId="1977"/>
    <tableColumn id="7" xr3:uid="{E3C7BDEA-44F4-F249-856C-455D306A4E62}" name="Difference No difficulty &amp; At least a lot of difficulty" dataDxfId="1976"/>
    <tableColumn id="8" xr3:uid="{AE016254-CD81-BF44-B6C3-FEDCAD253B5E}" name="Statistical Significance of the Difference (No difficulty vs At least a lot)" dataDxfId="1975">
      <calculatedColumnFormula>IF(       0&lt;0.01,"***",IF(       0&lt;0.05,"**",IF(       0&lt;0.1,"*","NS")))</calculatedColumnFormula>
    </tableColumn>
  </tableColumns>
  <tableStyleInfo name="TableStyleMedium2" showFirstColumn="1"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F29D8C1-2D08-9146-8981-5E2920ECCDC6}" name="Table_E1.2.c_Share_of_females_who_have_ever_attended_school_Percentage_disaggregation_c" displayName="Table_E1.2.c_Share_of_females_who_have_ever_attended_school_Percentage_disaggregation_c" ref="P10:T15" totalsRowShown="0" headerRowDxfId="1974" dataDxfId="1973">
  <autoFilter ref="P10:T15" xr:uid="{DF29D8C1-2D08-9146-8981-5E2920ECCDC6}"/>
  <tableColumns count="5">
    <tableColumn id="1" xr3:uid="{BDBFD3BA-07BC-8748-BD9C-7525DD15AAE1}" name="Region" dataDxfId="1972"/>
    <tableColumn id="2" xr3:uid="{93BF9454-0ED6-F14C-AA39-21B5E212DA46}" name="No or some difficulty" dataDxfId="1971"/>
    <tableColumn id="3" xr3:uid="{FC92DADE-9532-CB4C-B2DB-CA762CE2C613}" name="At least a lot of difficulty" dataDxfId="1970"/>
    <tableColumn id="4" xr3:uid="{CE4BB6B4-8A7D-0047-8D7A-E72F86ED1FC9}" name="Difference" dataDxfId="1969"/>
    <tableColumn id="5" xr3:uid="{1A2B63E8-23B1-F748-A7ED-4144868FFF7E}" name="Statistical Significance of the Difference" dataDxfId="1968">
      <calculatedColumnFormula>IF(       0&lt;0.01,"***",IF(       0&lt;0.05,"**",IF(       0&lt;0.1,"*","NS")))</calculatedColumnFormula>
    </tableColumn>
  </tableColumns>
  <tableStyleInfo name="TableStyleMedium2" showFirstColumn="1"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AB1EAC9-02D8-E74A-BAD2-EADE3A8E5D49}" name="Table_E1.3.a_Share_of_males_who_have_ever_attended_school_Percentage_disaggregation_a" displayName="Table_E1.3.a_Share_of_males_who_have_ever_attended_school_Percentage_disaggregation_a" ref="A18:E23" totalsRowShown="0" headerRowDxfId="1967" dataDxfId="1966">
  <autoFilter ref="A18:E23" xr:uid="{0AB1EAC9-02D8-E74A-BAD2-EADE3A8E5D49}"/>
  <tableColumns count="5">
    <tableColumn id="1" xr3:uid="{65E43785-36D3-014B-B583-A2218C67A7EA}" name="Region" dataDxfId="1965"/>
    <tableColumn id="2" xr3:uid="{03FFD5EB-F2CE-8D49-A97B-9D20553BDC49}" name="No difficulty" dataDxfId="1964"/>
    <tableColumn id="3" xr3:uid="{3EAE74E6-8500-F248-AD8E-006447A30B9B}" name="Any difficulty" dataDxfId="1963"/>
    <tableColumn id="4" xr3:uid="{F2A33E15-2D7E-CE42-8CFE-BF8CC4AF9824}" name="Difference" dataDxfId="1962"/>
    <tableColumn id="5" xr3:uid="{1119B423-47DA-D444-A6B9-CFE1D9E106B0}" name="Statistical Significance of the Difference" dataDxfId="1961">
      <calculatedColumnFormula>IF(       0&lt;0.01,"***",IF(       0&lt;0.05,"**",IF(       0&lt;0.1,"*","NS")))</calculatedColumnFormula>
    </tableColumn>
  </tableColumns>
  <tableStyleInfo name="TableStyleMedium2" showFirstColumn="1"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F8713332-4042-8F43-96B8-6D9F72582C16}" name="Table_E1.3.b_Share_of_males_who_have_ever_attended_school_Percentage_disaggregation_b" displayName="Table_E1.3.b_Share_of_males_who_have_ever_attended_school_Percentage_disaggregation_b" ref="G18:N23" totalsRowShown="0" headerRowDxfId="1960" dataDxfId="1959">
  <autoFilter ref="G18:N23" xr:uid="{F8713332-4042-8F43-96B8-6D9F72582C16}"/>
  <tableColumns count="8">
    <tableColumn id="1" xr3:uid="{FDE52AB0-7FCD-7642-913F-0C811493C42F}" name="Region" dataDxfId="1958"/>
    <tableColumn id="2" xr3:uid="{B12B9B8F-6394-6641-8724-AAFE02FEF804}" name="No difficulty" dataDxfId="1957"/>
    <tableColumn id="3" xr3:uid="{4908F88F-B0B9-044A-991C-A401973CD7A3}" name="Some difficulty" dataDxfId="1956"/>
    <tableColumn id="4" xr3:uid="{5B427DBF-9C9A-384C-BA29-115EB1864943}" name="Difference" dataDxfId="1955"/>
    <tableColumn id="5" xr3:uid="{70895A44-617A-5D46-BFE2-E07A0F6BA412}" name="Statistical Significance of the Difference" dataDxfId="1954">
      <calculatedColumnFormula>IF(       0&lt;0.01,"***",IF(       0&lt;0.05,"**",IF(       0&lt;0.1,"*","NS")))</calculatedColumnFormula>
    </tableColumn>
    <tableColumn id="6" xr3:uid="{F8A55413-2E2E-534A-8D00-0F548B911DB7}" name="At least a lot of difficulty" dataDxfId="1953"/>
    <tableColumn id="7" xr3:uid="{DB26F331-21DB-5147-AB20-B52A15022246}" name="Difference No difficulty &amp; At least a lot of difficulty" dataDxfId="1952"/>
    <tableColumn id="8" xr3:uid="{70AEF08F-D775-AF44-BD25-51308E18A203}" name="Statistical Significance of the Difference (No difficulty vs At least a lot)" dataDxfId="1951">
      <calculatedColumnFormula>IF(       0&lt;0.01,"***",IF(       0&lt;0.05,"**",IF(       0&lt;0.1,"*","NS")))</calculatedColumnFormula>
    </tableColumn>
  </tableColumns>
  <tableStyleInfo name="TableStyleMedium2" showFirstColumn="1"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119C605-D6B3-F845-AC12-737E0C97229C}" name="Table_E1.3.c_Share_of_males_who_have_ever_attended_school_Percentage_disaggregation_c" displayName="Table_E1.3.c_Share_of_males_who_have_ever_attended_school_Percentage_disaggregation_c" ref="P18:T23" totalsRowShown="0" headerRowDxfId="1950" dataDxfId="1949">
  <autoFilter ref="P18:T23" xr:uid="{F119C605-D6B3-F845-AC12-737E0C97229C}"/>
  <tableColumns count="5">
    <tableColumn id="1" xr3:uid="{8CC18540-59F2-D044-977B-00DBC5F6599B}" name="Region" dataDxfId="1948"/>
    <tableColumn id="2" xr3:uid="{AF57FDEC-229A-DC45-A923-2F459E88E8B6}" name="No or some difficulty" dataDxfId="1947"/>
    <tableColumn id="3" xr3:uid="{402A89E7-65F1-C948-A93F-3F9D0CFF844A}" name="At least a lot of difficulty" dataDxfId="1946"/>
    <tableColumn id="4" xr3:uid="{2FCAED8C-7ED2-4047-B244-8EECD673D398}" name="Difference" dataDxfId="1945"/>
    <tableColumn id="5" xr3:uid="{75177447-0516-144B-A54F-5C99B0615E06}" name="Statistical Significance of the Difference" dataDxfId="1944">
      <calculatedColumnFormula>IF(       0&lt;0.01,"***",IF(       0&lt;0.05,"**",IF(       0&lt;0.1,"*","NS")))</calculatedColumnFormula>
    </tableColumn>
  </tableColumns>
  <tableStyleInfo name="TableStyleMedium2" showFirstColumn="1"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FD66326A-4181-9D4C-A3FC-DD159D725D7C}" name="Table_E1.4.a_Share_of_rural_residents_who_have_ever_attended_school_Percentage_disaggregation_a" displayName="Table_E1.4.a_Share_of_rural_residents_who_have_ever_attended_school_Percentage_disaggregation_a" ref="A26:E31" totalsRowShown="0" headerRowDxfId="1943" dataDxfId="1942">
  <autoFilter ref="A26:E31" xr:uid="{FD66326A-4181-9D4C-A3FC-DD159D725D7C}"/>
  <tableColumns count="5">
    <tableColumn id="1" xr3:uid="{B30436EB-EAF0-D143-B616-AE977E0D7BAB}" name="Region" dataDxfId="1941"/>
    <tableColumn id="2" xr3:uid="{8B809B59-35AF-874E-ACBC-C47BEF8662F0}" name="No difficulty" dataDxfId="1940"/>
    <tableColumn id="3" xr3:uid="{4594A3BF-3294-5C48-B62F-C3FCCB57C7D9}" name="Any difficulty" dataDxfId="1939"/>
    <tableColumn id="4" xr3:uid="{7E440CD7-6EC7-614F-B00B-BE86C93D84B6}" name="Difference" dataDxfId="1938"/>
    <tableColumn id="5" xr3:uid="{09CE0C75-4BB3-B947-9200-93F8AEA58483}" name="Statistical Significance of the Difference" dataDxfId="1937">
      <calculatedColumnFormula>IF(       0&lt;0.01,"***",IF(       0&lt;0.05,"**",IF(       0&lt;0.1,"*","NS")))</calculatedColumnFormula>
    </tableColumn>
  </tableColumns>
  <tableStyleInfo name="TableStyleMedium2"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6EA845E-3F6D-454D-8E40-5A844A0CA400}" name="Table_E1.4.b_Share_of_rural_residents_who_have_ever_attended_school_Percentage_disaggregation_b" displayName="Table_E1.4.b_Share_of_rural_residents_who_have_ever_attended_school_Percentage_disaggregation_b" ref="G26:N31" totalsRowShown="0" headerRowDxfId="1936" dataDxfId="1935">
  <autoFilter ref="G26:N31" xr:uid="{D6EA845E-3F6D-454D-8E40-5A844A0CA400}"/>
  <tableColumns count="8">
    <tableColumn id="1" xr3:uid="{9A2520E5-7C83-A24F-B8DF-A2D62F1D4A47}" name="Region" dataDxfId="1934"/>
    <tableColumn id="2" xr3:uid="{47FC5D1D-078E-5745-86FE-8945FA8C9EB1}" name="No difficulty" dataDxfId="1933"/>
    <tableColumn id="3" xr3:uid="{F67C671F-F74F-544B-9DA5-A4F2B24E7740}" name="Some difficulty" dataDxfId="1932"/>
    <tableColumn id="4" xr3:uid="{46E528C8-64C5-B64F-ABDF-285FD2D2C37A}" name="Difference" dataDxfId="1931"/>
    <tableColumn id="5" xr3:uid="{361C881A-E514-994D-AC34-A62F859132D9}" name="Statistical Significance of the Difference" dataDxfId="1930"/>
    <tableColumn id="6" xr3:uid="{D4C3FCD5-E8FC-5A4D-98BC-F083353FA412}" name="At least a lot of difficulty" dataDxfId="1929"/>
    <tableColumn id="7" xr3:uid="{63F091F6-67E3-194F-8EB4-846FCE6ECA56}" name="Difference No difficulty &amp; At least a lot of difficulty" dataDxfId="1928"/>
    <tableColumn id="8" xr3:uid="{E77EAD56-FA5F-734E-87ED-912707546833}" name="Statistical Significance of the Difference (No difficulty vs At least a lot)" dataDxfId="1927">
      <calculatedColumnFormula>IF(       0&lt;0.01,"***",IF(       0&lt;0.05,"**",IF(       0&lt;0.1,"*","NS")))</calculatedColumnFormula>
    </tableColumn>
  </tableColumns>
  <tableStyleInfo name="TableStyleMedium2" showFirstColumn="1"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C535AB33-DA9C-6F4D-9392-0647667E28BE}" name="Table_E1.4.c_Share_of_rural_residents_who_have_ever_attended_school_Percentage_disaggregation_c" displayName="Table_E1.4.c_Share_of_rural_residents_who_have_ever_attended_school_Percentage_disaggregation_c" ref="P26:T31" totalsRowShown="0" headerRowDxfId="1926" dataDxfId="1925">
  <autoFilter ref="P26:T31" xr:uid="{C535AB33-DA9C-6F4D-9392-0647667E28BE}"/>
  <tableColumns count="5">
    <tableColumn id="1" xr3:uid="{CCEF5EDE-1CCE-A240-84AF-47146AD54D4E}" name="Region" dataDxfId="1924"/>
    <tableColumn id="2" xr3:uid="{923A09FC-F363-B44B-820A-F85C55E7E35B}" name="No or some difficulty" dataDxfId="1923"/>
    <tableColumn id="3" xr3:uid="{6096AD64-4F04-3F4C-BCEB-754A83FA02D1}" name="At least a lot of difficulty" dataDxfId="1922"/>
    <tableColumn id="4" xr3:uid="{D1024158-9E74-744F-8EA2-3B0607F2A0F3}" name="Difference" dataDxfId="1921"/>
    <tableColumn id="5" xr3:uid="{288CA422-30AF-F74C-9965-731A6795C0E7}" name="Statistical Significance of the Difference" dataDxfId="1920">
      <calculatedColumnFormula>IF(       0&lt;0.01,"***",IF(       0&lt;0.05,"**",IF(       0&lt;0.1,"*","NS")))</calculatedColumnFormula>
    </tableColumn>
  </tableColumns>
  <tableStyleInfo name="TableStyleMedium2" showFirstColumn="1"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F833A0F-2B64-D347-911B-2B437E182309}" name="Table_E1.5.a_Share_of_urban_residents_who_have_ever_attended_school_Percentage_disaggregation_a" displayName="Table_E1.5.a_Share_of_urban_residents_who_have_ever_attended_school_Percentage_disaggregation_a" ref="A34:E39" totalsRowShown="0" headerRowDxfId="1919" dataDxfId="1918">
  <autoFilter ref="A34:E39" xr:uid="{AF833A0F-2B64-D347-911B-2B437E182309}"/>
  <tableColumns count="5">
    <tableColumn id="1" xr3:uid="{37EF6E56-8D83-434A-810B-30A582168EB5}" name="Region" dataDxfId="1917"/>
    <tableColumn id="2" xr3:uid="{F72095F0-C3D5-0748-BF7D-0A120CC25B42}" name="No difficulty" dataDxfId="1916"/>
    <tableColumn id="3" xr3:uid="{1EFC3B56-31DC-6440-BFFB-2EBF34135FCF}" name="Any difficulty" dataDxfId="1915"/>
    <tableColumn id="4" xr3:uid="{F5FCBE7F-00D6-EA48-865D-C31060EADC7D}" name="Difference" dataDxfId="1914"/>
    <tableColumn id="5" xr3:uid="{AF14FEF1-E30D-FF49-9AE5-6CC36B29BD03}" name="Statistical Significance of the Difference" dataDxfId="1913"/>
  </tableColumns>
  <tableStyleInfo name="TableStyleMedium2"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E9C8091-58D4-6B4C-BCBC-E941C29EF700}" name="Table_P1.3_Share_of_males_with_functional_difficulties_Percentage" displayName="Table_P1.3_Share_of_males_with_functional_difficulties_Percentage" ref="A18:D23" totalsRowShown="0" headerRowDxfId="2210" dataDxfId="2209">
  <autoFilter ref="A18:D23" xr:uid="{DE9C8091-58D4-6B4C-BCBC-E941C29EF700}"/>
  <tableColumns count="4">
    <tableColumn id="1" xr3:uid="{1FDC6A63-2EB5-C044-BE95-A03D85D3AFCD}" name="Region" dataDxfId="2208"/>
    <tableColumn id="2" xr3:uid="{4D154C11-EDB1-4542-894C-77F03A99B048}" name="Any difficulty" dataDxfId="2207"/>
    <tableColumn id="3" xr3:uid="{4E08E839-B5AF-D143-8CC9-AD10830D2114}" name="Some difficulty" dataDxfId="2206"/>
    <tableColumn id="4" xr3:uid="{FE3A9582-EEF7-3F4D-814C-3D701472B2C0}" name="At least a lot of difficulty" dataDxfId="2205"/>
  </tableColumns>
  <tableStyleInfo name="TableStyleMedium2" showFirstColumn="1"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A31AD3-4014-0B44-A1B5-8A5472B64337}" name="Table_E1.5.b_Share_of_urban_residents_who_have_ever_attended_school_Percentage_disaggregation_b" displayName="Table_E1.5.b_Share_of_urban_residents_who_have_ever_attended_school_Percentage_disaggregation_b" ref="G34:N39" totalsRowShown="0" headerRowDxfId="1912" dataDxfId="1911">
  <autoFilter ref="G34:N39" xr:uid="{00A31AD3-4014-0B44-A1B5-8A5472B64337}"/>
  <tableColumns count="8">
    <tableColumn id="1" xr3:uid="{C733BDAD-19D6-9C42-998E-ED83DD718AD9}" name="Region" dataDxfId="1910"/>
    <tableColumn id="2" xr3:uid="{567A18D3-6A7A-D546-9154-7A3D1CD3D755}" name="No difficulty" dataDxfId="1909"/>
    <tableColumn id="3" xr3:uid="{6E9071A5-E15F-E94C-BDB3-4AB21505A092}" name="Some difficulty" dataDxfId="1908"/>
    <tableColumn id="4" xr3:uid="{A6ABB50E-41C4-2A48-8F55-6ACDCF82CE3F}" name="Difference" dataDxfId="1907"/>
    <tableColumn id="5" xr3:uid="{7F551C7B-763F-8E47-801D-56109D4B42FC}" name="Statistical Significance of the Difference" dataDxfId="1906"/>
    <tableColumn id="6" xr3:uid="{38DA6B1C-CEDB-AB49-821A-7DF3044AACC5}" name="At least a lot of difficulty" dataDxfId="1905"/>
    <tableColumn id="7" xr3:uid="{6DBAC350-F85B-A540-AFFB-41B171B77513}" name="Difference No difficulty &amp; At least a lot of difficulty" dataDxfId="1904"/>
    <tableColumn id="8" xr3:uid="{B084F640-0EB8-5248-976A-7A1DB113EF12}" name="Statistical Significance of the Difference (No difficulty vs At least a lot)" dataDxfId="1903"/>
  </tableColumns>
  <tableStyleInfo name="TableStyleMedium2" showFirstColumn="1"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81777BB1-6C3F-684B-AF0C-AD3404A41C71}" name="Table_E1.5.c_Share_of_urban_residents_who_have_ever_attended_school_Percentage_disaggregation_c" displayName="Table_E1.5.c_Share_of_urban_residents_who_have_ever_attended_school_Percentage_disaggregation_c" ref="P34:T39" totalsRowShown="0" headerRowDxfId="1902" dataDxfId="1901">
  <autoFilter ref="P34:T39" xr:uid="{81777BB1-6C3F-684B-AF0C-AD3404A41C71}"/>
  <tableColumns count="5">
    <tableColumn id="1" xr3:uid="{FB6023C0-6609-CD44-9B83-1BC453DF4046}" name="Region" dataDxfId="1900"/>
    <tableColumn id="2" xr3:uid="{4AAA0961-DCCB-AD43-B829-A1AD39550AD8}" name="No or some difficulty" dataDxfId="1899"/>
    <tableColumn id="3" xr3:uid="{C3195C38-E2F5-C34C-82A1-C8D1C2C030A6}" name="At least a lot of difficulty" dataDxfId="1898"/>
    <tableColumn id="4" xr3:uid="{79A61DEA-496C-9247-8BB4-AD20E51295AD}" name="Difference" dataDxfId="1897"/>
    <tableColumn id="5" xr3:uid="{16482EA9-DC9B-5C40-A7B0-7929649D017F}" name="Statistical Significance of the Difference" dataDxfId="1896"/>
  </tableColumns>
  <tableStyleInfo name="TableStyleMedium2" showFirstColumn="1"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1CDFF94C-898E-C24F-AD3D-EB91390D2C55}" name="Table_E1.6.a_Share_of_adults_age_15_to_44_who_have_ever_attended_school_Percentage_disaggregation_a" displayName="Table_E1.6.a_Share_of_adults_age_15_to_44_who_have_ever_attended_school_Percentage_disaggregation_a" ref="A42:E47" totalsRowShown="0" headerRowDxfId="1895" dataDxfId="1894">
  <autoFilter ref="A42:E47" xr:uid="{1CDFF94C-898E-C24F-AD3D-EB91390D2C55}"/>
  <tableColumns count="5">
    <tableColumn id="1" xr3:uid="{4BA3B2A0-9B9E-E641-B395-8FBB72945753}" name="Region" dataDxfId="1893"/>
    <tableColumn id="2" xr3:uid="{2C50952F-0B2F-F34B-A67F-2D19C601E238}" name="No difficulty" dataDxfId="1892"/>
    <tableColumn id="3" xr3:uid="{01CEFF8C-CC86-DB4A-A9A3-6ABDBA34A736}" name="Any difficulty" dataDxfId="1891"/>
    <tableColumn id="4" xr3:uid="{32CFF273-5543-F84A-9B22-A4E70A7290EA}" name="Difference" dataDxfId="1890"/>
    <tableColumn id="5" xr3:uid="{30D4AA50-3206-954C-B48C-5A97EAE03BFD}" name="Statistical Significance of the Difference" dataDxfId="1889"/>
  </tableColumns>
  <tableStyleInfo name="TableStyleMedium2" showFirstColumn="1"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F518AA1D-13C7-6545-A2AD-BFE50098356E}" name="Table_E1.6.b_Share_of_adults_age_15_to_44_who_have_ever_attended_school_Percentage_disaggregation_b" displayName="Table_E1.6.b_Share_of_adults_age_15_to_44_who_have_ever_attended_school_Percentage_disaggregation_b" ref="G42:N47" totalsRowShown="0" headerRowDxfId="1888" dataDxfId="1887">
  <autoFilter ref="G42:N47" xr:uid="{F518AA1D-13C7-6545-A2AD-BFE50098356E}"/>
  <tableColumns count="8">
    <tableColumn id="1" xr3:uid="{5125B2CF-22E4-9243-8838-8F55C88278B7}" name="Region" dataDxfId="1886"/>
    <tableColumn id="2" xr3:uid="{0EA46DEB-60C7-DE43-B819-498E9A55A011}" name="No difficulty" dataDxfId="1885"/>
    <tableColumn id="3" xr3:uid="{F32FF499-C0FF-B941-9671-319CC5DF985F}" name="Some difficulty" dataDxfId="1884"/>
    <tableColumn id="4" xr3:uid="{E1A22AAF-0D54-2947-BEA6-D68B689F421A}" name="Difference" dataDxfId="1883"/>
    <tableColumn id="5" xr3:uid="{DA6F4BA4-DE98-6644-B7FD-E23DCFE18346}" name="Statistical Significance of the Difference" dataDxfId="1882"/>
    <tableColumn id="6" xr3:uid="{28A21706-65FC-2240-958D-CB91C863DD1C}" name="At least a lot of difficulty" dataDxfId="1881"/>
    <tableColumn id="7" xr3:uid="{FC9AE7C8-202B-4E47-BFD5-13A6F532A1B2}" name="Difference No difficulty &amp; At least a lot of difficulty" dataDxfId="1880"/>
    <tableColumn id="8" xr3:uid="{5BE8AA74-9515-F04F-BE8C-B5D096886464}" name="Statistical Significance of the Difference (No difficulty vs At least a lot)" dataDxfId="1879"/>
  </tableColumns>
  <tableStyleInfo name="TableStyleMedium2" showFirstColumn="1"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AA6687A-F6B5-F140-9014-6781BB4DB75E}" name="Table_E1.6.c_Share_of_adults_age_15_to_44_who_have_ever_attended_school_Percentage_disaggregation_c" displayName="Table_E1.6.c_Share_of_adults_age_15_to_44_who_have_ever_attended_school_Percentage_disaggregation_c" ref="P42:T47" totalsRowShown="0" headerRowDxfId="1878" dataDxfId="1877">
  <autoFilter ref="P42:T47" xr:uid="{0AA6687A-F6B5-F140-9014-6781BB4DB75E}"/>
  <tableColumns count="5">
    <tableColumn id="1" xr3:uid="{7CE07139-C197-B44B-8966-2FB99D29BADC}" name="Region" dataDxfId="1876"/>
    <tableColumn id="2" xr3:uid="{7A69551F-E3BF-7D4D-B28B-60460399E4C0}" name="No or some difficulty" dataDxfId="1875"/>
    <tableColumn id="3" xr3:uid="{4771135D-CAC9-C547-B701-5FD5D4054FDA}" name="At least a lot of difficulty" dataDxfId="1874"/>
    <tableColumn id="4" xr3:uid="{863E684F-BCB5-8444-8A68-10CF35419635}" name="Difference" dataDxfId="1873"/>
    <tableColumn id="5" xr3:uid="{25E44C4F-5B77-3E4D-8986-4C5A810F090C}" name="Statistical Significance of the Difference" dataDxfId="1872"/>
  </tableColumns>
  <tableStyleInfo name="TableStyleMedium2" showFirstColumn="1"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F4387561-6FEA-994D-B73B-EE74E6DEFDC7}" name="Table_E1.7.a_Share_of_adults_age_45_and_older_who_have_ever_attended_school_Percentage_disaggregation_a" displayName="Table_E1.7.a_Share_of_adults_age_45_and_older_who_have_ever_attended_school_Percentage_disaggregation_a" ref="A50:E55" totalsRowShown="0" headerRowDxfId="1871" dataDxfId="1870">
  <autoFilter ref="A50:E55" xr:uid="{F4387561-6FEA-994D-B73B-EE74E6DEFDC7}"/>
  <tableColumns count="5">
    <tableColumn id="1" xr3:uid="{B6105DE2-7C48-D641-8A1B-849FA3B1E7E8}" name="Region" dataDxfId="1869"/>
    <tableColumn id="2" xr3:uid="{32737713-3D31-2A41-912B-6FF53F8A1943}" name="No difficulty" dataDxfId="1868"/>
    <tableColumn id="3" xr3:uid="{2791AB3E-508A-8948-974D-B82ECFF28356}" name="Any difficulty" dataDxfId="1867"/>
    <tableColumn id="4" xr3:uid="{76DA6822-57A8-034C-9987-4BDDB5986E74}" name="Difference" dataDxfId="1866"/>
    <tableColumn id="5" xr3:uid="{8433B1B1-2D6A-9546-B5C3-6711E7A3698B}" name="Statistical Significance of the Difference" dataDxfId="1865"/>
  </tableColumns>
  <tableStyleInfo name="TableStyleMedium2"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18743F90-5D58-CA49-8CD8-E99906B5C458}" name="Table_E1.7.b_Share_of_adults_age_45_and_older_who_have_ever_attended_school_Percentage_disaggregation_b" displayName="Table_E1.7.b_Share_of_adults_age_45_and_older_who_have_ever_attended_school_Percentage_disaggregation_b" ref="G50:N55" totalsRowShown="0" headerRowDxfId="1864" dataDxfId="1863">
  <autoFilter ref="G50:N55" xr:uid="{18743F90-5D58-CA49-8CD8-E99906B5C458}"/>
  <tableColumns count="8">
    <tableColumn id="1" xr3:uid="{C41C1C6A-6629-3942-945C-32A58AA740B6}" name="Region" dataDxfId="1862"/>
    <tableColumn id="2" xr3:uid="{0A93969A-E7AD-994E-92A5-A8FA2C9727B9}" name="No difficulty" dataDxfId="1861"/>
    <tableColumn id="3" xr3:uid="{30D31DB8-4EC7-9E4C-9569-6FE6A4A69F57}" name="Some difficulty" dataDxfId="1860"/>
    <tableColumn id="4" xr3:uid="{EC4E95A8-7110-114F-8DFC-F4C10AD3A08D}" name="Difference" dataDxfId="1859"/>
    <tableColumn id="5" xr3:uid="{29D6019F-9825-FE43-BB06-3FBEC6D82D87}" name="Statistical Significance of the Difference" dataDxfId="1858"/>
    <tableColumn id="6" xr3:uid="{41E90CEF-3656-544A-B840-0056B073ED64}" name="At least a lot of difficulty" dataDxfId="1857"/>
    <tableColumn id="7" xr3:uid="{5D3AD717-589C-F040-BFBA-8381C2B3E823}" name="Difference No difficulty &amp; At least a lot of difficulty" dataDxfId="1856"/>
    <tableColumn id="8" xr3:uid="{D28DFE81-66D4-BE46-AE66-9106FD55179E}" name="Statistical Significance of the Difference (No difficulty vs At least a lot)" dataDxfId="1855"/>
  </tableColumns>
  <tableStyleInfo name="TableStyleMedium2" showFirstColumn="1"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308414BE-C78C-A64B-B6B9-05C14449C09E}" name="Table_E1.7.c_Share_of_adults_age_45_and_older_who_have_ever_attended_school_Percentage_disaggregation_c" displayName="Table_E1.7.c_Share_of_adults_age_45_and_older_who_have_ever_attended_school_Percentage_disaggregation_c" ref="P50:T55" totalsRowShown="0" headerRowDxfId="1854" dataDxfId="1853">
  <autoFilter ref="P50:T55" xr:uid="{308414BE-C78C-A64B-B6B9-05C14449C09E}"/>
  <tableColumns count="5">
    <tableColumn id="1" xr3:uid="{C644150A-1423-BB4B-B425-0DE881E8F72E}" name="Region" dataDxfId="1852"/>
    <tableColumn id="2" xr3:uid="{FFB1AB64-08FD-8245-9542-72F4EEFF723F}" name="No or some difficulty" dataDxfId="1851"/>
    <tableColumn id="3" xr3:uid="{F29D9906-E8BC-AC48-ACD8-327FEC9233CC}" name="At least a lot of difficulty" dataDxfId="1850"/>
    <tableColumn id="4" xr3:uid="{F3D538A7-246A-E74A-9082-E80951DC4C6F}" name="Difference" dataDxfId="1849"/>
    <tableColumn id="5" xr3:uid="{239D0B9D-DF9C-4A4F-83CA-4D0B07A30F1F}" name="Statistical Significance of the Difference" dataDxfId="1848"/>
  </tableColumns>
  <tableStyleInfo name="TableStyleMedium2" showFirstColumn="1"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8850F88B-EAAC-3047-9AC4-4E3ACBDA6D1E}" name="Table_E2.1.a_Share_of_all_adults_who_have_less_than_primary_school_completion_Percentage_disaggregation_a" displayName="Table_E2.1.a_Share_of_all_adults_who_have_less_than_primary_school_completion_Percentage_disaggregation_a" ref="A2:E7" totalsRowShown="0" headerRowDxfId="1847" dataDxfId="1846">
  <autoFilter ref="A2:E7" xr:uid="{8850F88B-EAAC-3047-9AC4-4E3ACBDA6D1E}"/>
  <tableColumns count="5">
    <tableColumn id="1" xr3:uid="{4047EA53-FE59-F34E-B2E3-36E1F55CBA1B}" name="Region" dataDxfId="1845"/>
    <tableColumn id="2" xr3:uid="{8127AFF2-A9AA-9C46-B9E9-09A5FCEB7A1C}" name="No difficulty" dataDxfId="1844"/>
    <tableColumn id="3" xr3:uid="{DC2D8887-D51F-4C49-BFA7-6E4EC849BB7E}" name="Any difficulty" dataDxfId="1843"/>
    <tableColumn id="4" xr3:uid="{4AAD7B17-C5BA-8C46-BBC6-9134B2BF94BD}" name="Difference" dataDxfId="1842"/>
    <tableColumn id="5" xr3:uid="{4D6F18F2-21FC-824A-9386-469DEEDDA22B}" name="Statistical Significance of the Difference" dataDxfId="1841"/>
  </tableColumns>
  <tableStyleInfo name="TableStyleMedium2" showFirstColumn="1"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1AB36012-7F26-7944-B429-91CE5FF1E558}" name="Table_E2.1.b_Share_of_all_adults_who_have_less_than_primary_school_completion_Percentage_disaggregation_b" displayName="Table_E2.1.b_Share_of_all_adults_who_have_less_than_primary_school_completion_Percentage_disaggregation_b" ref="G2:N7" totalsRowShown="0" headerRowDxfId="1840" dataDxfId="1839">
  <autoFilter ref="G2:N7" xr:uid="{1AB36012-7F26-7944-B429-91CE5FF1E558}"/>
  <tableColumns count="8">
    <tableColumn id="1" xr3:uid="{1DD5B050-95B9-EB4E-BF6C-072DDDEF8AE4}" name="Region" dataDxfId="1838"/>
    <tableColumn id="2" xr3:uid="{BD5B4490-61E1-5843-BFB2-BAFD552287D4}" name="No difficulty" dataDxfId="1837"/>
    <tableColumn id="3" xr3:uid="{695B548B-B831-4749-A02E-0BF4B8975205}" name="Some difficulty" dataDxfId="1836"/>
    <tableColumn id="4" xr3:uid="{9004C0C1-7E9A-C545-9D8B-1515707FF87D}" name="Difference" dataDxfId="1835"/>
    <tableColumn id="5" xr3:uid="{EFA0A492-F461-F14D-8768-38555BC4E236}" name="Statistical Significance of the Difference" dataDxfId="1834"/>
    <tableColumn id="6" xr3:uid="{4306D4F6-1B9F-994C-8EB3-2ECA1D136B57}" name="At least a lot of difficulty" dataDxfId="1833"/>
    <tableColumn id="7" xr3:uid="{D032388B-8CEE-8445-8ECC-D1501A6552D1}" name="Difference No difficulty &amp; At least a lot of difficulty" dataDxfId="1832"/>
    <tableColumn id="8" xr3:uid="{F6EE5FA2-DD51-D14F-9261-29AFD7CBAEE9}" name="Statistical Significance of the Difference (No difficulty vs At least a lot)" dataDxfId="1831">
      <calculatedColumnFormula>IF(       0&lt;0.01,"***",IF(       0&lt;0.05,"**",IF(       0&lt;0.1,"*","NS")))</calculatedColumnFormula>
    </tableColumn>
  </tableColumns>
  <tableStyleInfo name="TableStyleMedium2"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AE673D4-D7CD-F345-8CDB-78637007827D}" name="Table_P1.4_Share_of_rural_residents_with_functional_difficulties_Percentage" displayName="Table_P1.4_Share_of_rural_residents_with_functional_difficulties_Percentage" ref="A26:D31" totalsRowShown="0" headerRowDxfId="2204" dataDxfId="2203">
  <autoFilter ref="A26:D31" xr:uid="{FAE673D4-D7CD-F345-8CDB-78637007827D}"/>
  <tableColumns count="4">
    <tableColumn id="1" xr3:uid="{E418ADB5-0FFC-994D-B8E8-A2B4B7ABB797}" name="Region" dataDxfId="2202"/>
    <tableColumn id="2" xr3:uid="{2573B5C3-ABAB-6F48-9C93-1EF5AD53AEB6}" name="Any difficulty" dataDxfId="2201"/>
    <tableColumn id="3" xr3:uid="{11ABAA3A-8D18-3149-BEFA-0BE8CC47CDDC}" name="Some difficulty" dataDxfId="2200"/>
    <tableColumn id="4" xr3:uid="{41870E25-E2DD-DB4A-B82E-72FAB8457F45}" name="At least a lot of difficulty" dataDxfId="2199"/>
  </tableColumns>
  <tableStyleInfo name="TableStyleMedium2" showFirstColumn="1"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FE8F34B-3412-074A-B258-33A974EEA267}" name="Table_E2.1.c_Share_of_all_adults_who_have_less_than_primary_school_completion_Percentage_disaggregation_c" displayName="Table_E2.1.c_Share_of_all_adults_who_have_less_than_primary_school_completion_Percentage_disaggregation_c" ref="P2:T7" totalsRowShown="0" headerRowDxfId="1830" dataDxfId="1829">
  <autoFilter ref="P2:T7" xr:uid="{6FE8F34B-3412-074A-B258-33A974EEA267}"/>
  <tableColumns count="5">
    <tableColumn id="1" xr3:uid="{53F996F6-B9A4-A74D-B885-7FF6ECE2DC6F}" name="Region" dataDxfId="1828"/>
    <tableColumn id="2" xr3:uid="{8363FE65-15D1-DC4D-8C59-F12B78E758E5}" name="No or some difficulty" dataDxfId="1827"/>
    <tableColumn id="3" xr3:uid="{32F59AF6-8FEF-914F-A478-2F92FB2E4903}" name="At least a lot of difficulty" dataDxfId="1826"/>
    <tableColumn id="4" xr3:uid="{39D855B3-DAF3-8848-9F30-BFDF7A41FC09}" name="Difference" dataDxfId="1825"/>
    <tableColumn id="5" xr3:uid="{CAA9368B-011B-5E42-A267-AEA1CE3953B1}" name="Statistical Significance of the Difference" dataDxfId="1824">
      <calculatedColumnFormula>IF(       0&lt;0.01,"***",IF(       0&lt;0.05,"**",IF(       0&lt;0.1,"*","NS")))</calculatedColumnFormula>
    </tableColumn>
  </tableColumns>
  <tableStyleInfo name="TableStyleMedium2" showFirstColumn="1"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E7BB9492-6EDB-1D45-A941-A45450AC092D}" name="Table_E2.2.a_Share_of_females_who_have_less_than_primary_school_completion_Percentage_disaggregation_a" displayName="Table_E2.2.a_Share_of_females_who_have_less_than_primary_school_completion_Percentage_disaggregation_a" ref="A10:E15" totalsRowShown="0" headerRowDxfId="1823" dataDxfId="1822">
  <autoFilter ref="A10:E15" xr:uid="{E7BB9492-6EDB-1D45-A941-A45450AC092D}"/>
  <tableColumns count="5">
    <tableColumn id="1" xr3:uid="{C1D4DD51-C0A0-C948-8832-48D1FE495C8D}" name="Region" dataDxfId="1821"/>
    <tableColumn id="2" xr3:uid="{891EA207-4923-C841-BD13-9E29D3C0CA66}" name="No difficulty" dataDxfId="1820"/>
    <tableColumn id="3" xr3:uid="{4584F3C3-18AE-8040-AC25-76D824787CC8}" name="Any difficulty" dataDxfId="1819"/>
    <tableColumn id="4" xr3:uid="{2A122697-0FEC-B54E-A1CE-7D2E7D10DDDE}" name="Difference" dataDxfId="1818"/>
    <tableColumn id="5" xr3:uid="{4418DCB0-9851-E449-90F9-844908DDD2A4}" name="Statistical Significance of the Difference" dataDxfId="1817"/>
  </tableColumns>
  <tableStyleInfo name="TableStyleMedium2" showFirstColumn="1"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FB54EC7B-5085-5A4F-8F6F-BC7C642D3B37}" name="Table_E2.2.b_Share_of_females_who_have_less_than_primary_school_completion_Percentage_disaggregation_b" displayName="Table_E2.2.b_Share_of_females_who_have_less_than_primary_school_completion_Percentage_disaggregation_b" ref="G10:N15" totalsRowShown="0" headerRowDxfId="1816" dataDxfId="1815">
  <autoFilter ref="G10:N15" xr:uid="{FB54EC7B-5085-5A4F-8F6F-BC7C642D3B37}"/>
  <tableColumns count="8">
    <tableColumn id="1" xr3:uid="{1783C54A-8C66-1C40-AC5F-BB14C043C26D}" name="Region" dataDxfId="1814"/>
    <tableColumn id="2" xr3:uid="{4D8E2210-D0B3-5240-B409-B05666EAAF39}" name="No difficulty" dataDxfId="1813"/>
    <tableColumn id="3" xr3:uid="{1B3845F1-762B-B64C-91EA-9FE291AE5938}" name="Some difficulty" dataDxfId="1812"/>
    <tableColumn id="4" xr3:uid="{FFA7C2DF-5074-2F41-AD4F-782502AF2244}" name="Difference" dataDxfId="1811"/>
    <tableColumn id="5" xr3:uid="{1A850435-FD5C-3F42-BF15-7CDA51ABE293}" name="Statistical Significance of the Difference" dataDxfId="1810"/>
    <tableColumn id="6" xr3:uid="{3E7D84E2-27D9-EB4C-9934-BF7642A1582D}" name="At least a lot of difficulty" dataDxfId="1809"/>
    <tableColumn id="7" xr3:uid="{21063D3F-4AEE-1A4B-95E7-8D3223CC89C0}" name="Difference No difficulty &amp; At least a lot of difficulty" dataDxfId="1808"/>
    <tableColumn id="8" xr3:uid="{31E5F305-5055-894D-B394-8D9498F0F9E9}" name="Statistical Significance of the Difference (No difficulty vs At least a lot)" dataDxfId="1807">
      <calculatedColumnFormula>IF(       0&lt;0.01,"***",IF(       0&lt;0.05,"**",IF(       0&lt;0.1,"*","NS")))</calculatedColumnFormula>
    </tableColumn>
  </tableColumns>
  <tableStyleInfo name="TableStyleMedium2" showFirstColumn="1"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C459650A-E139-544C-ADEB-8C6E8809D1B2}" name="Table_E2.2.c_Share_of_females_who_have_less_than_primary_school_completion_Percentage_disaggregation_c" displayName="Table_E2.2.c_Share_of_females_who_have_less_than_primary_school_completion_Percentage_disaggregation_c" ref="P10:T15" totalsRowShown="0" headerRowDxfId="1806" dataDxfId="1805">
  <autoFilter ref="P10:T15" xr:uid="{C459650A-E139-544C-ADEB-8C6E8809D1B2}"/>
  <tableColumns count="5">
    <tableColumn id="1" xr3:uid="{4D926ABD-70DD-F645-98E3-30F9DB4A8D5A}" name="Region" dataDxfId="1804"/>
    <tableColumn id="2" xr3:uid="{482D86B5-1F6C-8C4F-8E46-C92DCC0948A0}" name="No or some difficulty" dataDxfId="1803"/>
    <tableColumn id="3" xr3:uid="{D71BEF6C-3FFB-5041-B812-989494F8ADCE}" name="At least a lot of difficulty" dataDxfId="1802"/>
    <tableColumn id="4" xr3:uid="{BC2F0D6E-849A-024C-83C6-D2262686217E}" name="Difference" dataDxfId="1801"/>
    <tableColumn id="5" xr3:uid="{1E99CCF7-A87A-8248-9744-E0FC9267A69C}" name="Statistical Significance of the Difference" dataDxfId="1800"/>
  </tableColumns>
  <tableStyleInfo name="TableStyleMedium2" showFirstColumn="1"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C0102362-FF48-4048-B709-A3FBB2617BD3}" name="Table_E2.3.a_Share_of_males_who_have_less_than_primary_school_completion_Percentage_disaggregation_a" displayName="Table_E2.3.a_Share_of_males_who_have_less_than_primary_school_completion_Percentage_disaggregation_a" ref="A18:E23" totalsRowShown="0" headerRowDxfId="1799" dataDxfId="1798">
  <autoFilter ref="A18:E23" xr:uid="{C0102362-FF48-4048-B709-A3FBB2617BD3}"/>
  <tableColumns count="5">
    <tableColumn id="1" xr3:uid="{99C0DA78-44A1-4846-8916-F88C82D9C8C1}" name="Region" dataDxfId="1797"/>
    <tableColumn id="2" xr3:uid="{8DE17326-0270-B948-A4C4-B91B008FD0C0}" name="No difficulty" dataDxfId="1796"/>
    <tableColumn id="3" xr3:uid="{D22866EA-1805-0D46-AE13-3377653179DF}" name="Any difficulty" dataDxfId="1795"/>
    <tableColumn id="4" xr3:uid="{0E546F79-3E49-D043-896D-4D06130FE4EE}" name="Difference" dataDxfId="1794"/>
    <tableColumn id="5" xr3:uid="{D056FB78-E286-8648-8CB7-E12EA2F5DA54}" name="Statistical Significance of the Difference" dataDxfId="1793"/>
  </tableColumns>
  <tableStyleInfo name="TableStyleMedium2" showFirstColumn="1"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B3DE51F2-DF56-8244-8884-EB4E8B6E634B}" name="Table_E2.3.b_Share_of_males_who_have_less_than_primary_school_completion_Percentage_disaggregation_b" displayName="Table_E2.3.b_Share_of_males_who_have_less_than_primary_school_completion_Percentage_disaggregation_b" ref="G18:N23" totalsRowShown="0" headerRowDxfId="1792" dataDxfId="1791">
  <autoFilter ref="G18:N23" xr:uid="{B3DE51F2-DF56-8244-8884-EB4E8B6E634B}"/>
  <tableColumns count="8">
    <tableColumn id="1" xr3:uid="{9D061F82-39F9-C94B-AA14-9DBBA35F3A06}" name="Region" dataDxfId="1790"/>
    <tableColumn id="2" xr3:uid="{7D011718-8F22-1F44-9CE5-C89EFBA20685}" name="No difficulty" dataDxfId="1789"/>
    <tableColumn id="3" xr3:uid="{859BB67F-0154-2E4C-9E59-4D79D564F1DC}" name="Some difficulty" dataDxfId="1788"/>
    <tableColumn id="4" xr3:uid="{C0B1EA64-14D7-DD49-9D5C-870CE1F8435A}" name="Difference" dataDxfId="1787"/>
    <tableColumn id="5" xr3:uid="{B890389C-BC4E-1D47-A991-C5CEEC00D15C}" name="Statistical Significance of the Difference" dataDxfId="1786"/>
    <tableColumn id="6" xr3:uid="{F382771B-8A34-3D49-9A22-A42EBCB6DA9F}" name="At least a lot of difficulty" dataDxfId="1785"/>
    <tableColumn id="7" xr3:uid="{A8417512-7147-224C-A308-F64B737999A0}" name="Difference No difficulty &amp; At least a lot of difficulty" dataDxfId="1784"/>
    <tableColumn id="8" xr3:uid="{07EE0CED-263C-7441-BCD4-EA8E0E23CA00}" name="Statistical Significance of the Difference (No difficulty vs At least a lot)" dataDxfId="1783">
      <calculatedColumnFormula>IF(       0&lt;0.01,"***",IF(       0&lt;0.05,"**",IF(       0&lt;0.1,"*","NS")))</calculatedColumnFormula>
    </tableColumn>
  </tableColumns>
  <tableStyleInfo name="TableStyleMedium2" showFirstColumn="1"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AD6BFE47-096B-3F4C-9589-803B1B0204E4}" name="Table_E2.3.c_Share_of_males_who_have_less_than_primary_school_completion_Percentage_disaggregation_c" displayName="Table_E2.3.c_Share_of_males_who_have_less_than_primary_school_completion_Percentage_disaggregation_c" ref="P18:T23" totalsRowShown="0" headerRowDxfId="1782" dataDxfId="1781">
  <autoFilter ref="P18:T23" xr:uid="{AD6BFE47-096B-3F4C-9589-803B1B0204E4}"/>
  <tableColumns count="5">
    <tableColumn id="1" xr3:uid="{B150CDBF-24D4-2A40-BB9F-6A2E1EA1EA86}" name="Region" dataDxfId="1780"/>
    <tableColumn id="2" xr3:uid="{FFBA884F-5223-224F-8811-814FE0BB448E}" name="No or some difficulty" dataDxfId="1779"/>
    <tableColumn id="3" xr3:uid="{CE02D535-350D-934D-8A6A-1C3E7831868D}" name="At least a lot of difficulty" dataDxfId="1778"/>
    <tableColumn id="4" xr3:uid="{52DE3E5D-6D89-CB4C-811E-DDFBF4B51DC2}" name="Difference" dataDxfId="1777"/>
    <tableColumn id="5" xr3:uid="{87CA653A-A8F8-F049-9495-3D54B8CB673F}" name="Statistical Significance of the Difference" dataDxfId="1776">
      <calculatedColumnFormula>IF(       0&lt;0.01,"***",IF(       0&lt;0.05,"**",IF(       0&lt;0.1,"*","NS")))</calculatedColumnFormula>
    </tableColumn>
  </tableColumns>
  <tableStyleInfo name="TableStyleMedium2" showFirstColumn="1"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1DED7EB8-E530-0546-995E-C77B77AF0F2E}" name="Table_E2.4.a_Share_of_rural_residents_who_have_less_than_primary_school_completion_Percentage_disaggregation_a" displayName="Table_E2.4.a_Share_of_rural_residents_who_have_less_than_primary_school_completion_Percentage_disaggregation_a" ref="A26:E31" totalsRowShown="0" headerRowDxfId="1775" dataDxfId="1774">
  <autoFilter ref="A26:E31" xr:uid="{1DED7EB8-E530-0546-995E-C77B77AF0F2E}"/>
  <tableColumns count="5">
    <tableColumn id="1" xr3:uid="{7B0A0678-25AF-0B4B-9E97-3FA78B916441}" name="Region" dataDxfId="1773"/>
    <tableColumn id="2" xr3:uid="{D9A00027-7D04-F34C-A408-667CC6667A7A}" name="No difficulty" dataDxfId="1772"/>
    <tableColumn id="3" xr3:uid="{AB92BE5A-1099-264C-8FD8-3B208CD5E0A1}" name="Any difficulty" dataDxfId="1771"/>
    <tableColumn id="4" xr3:uid="{4ABB4CEC-2BF9-334C-9733-B5062CA37523}" name="Difference" dataDxfId="1770"/>
    <tableColumn id="5" xr3:uid="{586F43E0-4079-6F47-AFC5-675CAE6E9C25}" name="Statistical Significance of the Difference" dataDxfId="1769">
      <calculatedColumnFormula>IF(       0&lt;0.01,"***",IF(       0&lt;0.05,"**",IF(       0&lt;0.1,"*","NS")))</calculatedColumnFormula>
    </tableColumn>
  </tableColumns>
  <tableStyleInfo name="TableStyleMedium2" showFirstColumn="1"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DA86000D-D3BB-5B4F-B964-0321A5F65A07}" name="Table_E2.4.b_Share_of_rural_residents_who_have_less_than_primary_school_completion_Percentage_disaggregation_b" displayName="Table_E2.4.b_Share_of_rural_residents_who_have_less_than_primary_school_completion_Percentage_disaggregation_b" ref="G26:N31" totalsRowShown="0" headerRowDxfId="1768" dataDxfId="1767">
  <autoFilter ref="G26:N31" xr:uid="{DA86000D-D3BB-5B4F-B964-0321A5F65A07}"/>
  <tableColumns count="8">
    <tableColumn id="1" xr3:uid="{917B97E1-0088-0744-91A6-0E792B9D1B9A}" name="Region" dataDxfId="1766"/>
    <tableColumn id="2" xr3:uid="{4DD73389-A5FB-FE43-A0AD-78668F156F1E}" name="No difficulty" dataDxfId="1765"/>
    <tableColumn id="3" xr3:uid="{5660425A-740C-3D40-BB22-8429D7A8002E}" name="Some difficulty" dataDxfId="1764"/>
    <tableColumn id="4" xr3:uid="{280F0FA9-98AB-1545-A3E6-315B1C91C835}" name="Difference" dataDxfId="1763"/>
    <tableColumn id="5" xr3:uid="{E6886329-4927-3047-911C-6049F624419A}" name="Statistical Significance of the Difference" dataDxfId="1762"/>
    <tableColumn id="6" xr3:uid="{36F74BD7-F891-8A41-A680-BF4980D5E951}" name="At least a lot of difficulty" dataDxfId="1761"/>
    <tableColumn id="7" xr3:uid="{0052E8DE-7C15-834A-82D5-6523E7BF790A}" name="Difference No difficulty &amp; At least a lot of difficulty" dataDxfId="1760"/>
    <tableColumn id="8" xr3:uid="{67B1E4B7-CC71-2446-9216-633D811CD51A}" name="Statistical Significance of the Difference (No difficulty vs At least a lot)" dataDxfId="1759">
      <calculatedColumnFormula>IF(       0&lt;0.01,"***",IF(       0&lt;0.05,"**",IF(       0&lt;0.1,"*","NS")))</calculatedColumnFormula>
    </tableColumn>
  </tableColumns>
  <tableStyleInfo name="TableStyleMedium2" showFirstColumn="1"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2ADA72B3-1908-6E4D-A05E-5D60FC0E9547}" name="Table_E2.4.c_Share_of_rural_residents_who_have_less_than_primary_school_completion_Percentage_disaggregation_c" displayName="Table_E2.4.c_Share_of_rural_residents_who_have_less_than_primary_school_completion_Percentage_disaggregation_c" ref="P26:T31" totalsRowShown="0" headerRowDxfId="1758" dataDxfId="1757">
  <autoFilter ref="P26:T31" xr:uid="{2ADA72B3-1908-6E4D-A05E-5D60FC0E9547}"/>
  <tableColumns count="5">
    <tableColumn id="1" xr3:uid="{0454D51B-2DBD-434C-B7EA-0B698E8EEB57}" name="Region" dataDxfId="1756"/>
    <tableColumn id="2" xr3:uid="{078D00DE-DA81-6442-AD47-1E3E5017AE07}" name="No or some difficulty" dataDxfId="1755"/>
    <tableColumn id="3" xr3:uid="{31F0123A-A426-A54C-B6D0-241A71D9E90A}" name="At least a lot of difficulty" dataDxfId="1754"/>
    <tableColumn id="4" xr3:uid="{F054EC6F-C0EE-204F-869F-C6F60892AC81}" name="Difference" dataDxfId="1753"/>
    <tableColumn id="5" xr3:uid="{41A2D77F-8121-A243-BECB-AC230FC2DF30}" name="Statistical Significance of the Difference" dataDxfId="1752">
      <calculatedColumnFormula>IF(       0&lt;0.01,"***",IF(       0&lt;0.05,"**",IF(       0&lt;0.1,"*","NS")))</calculatedColumnFormula>
    </tableColumn>
  </tableColumns>
  <tableStyleInfo name="TableStyleMedium2"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68EDEAA-92C5-3344-A0DC-BE53183D8120}" name="Table_P1.5_Share_of_urban_residents_with_functional_difficulties_Percentage" displayName="Table_P1.5_Share_of_urban_residents_with_functional_difficulties_Percentage" ref="A34:D39" totalsRowShown="0" headerRowDxfId="2198" dataDxfId="2197">
  <autoFilter ref="A34:D39" xr:uid="{C68EDEAA-92C5-3344-A0DC-BE53183D8120}"/>
  <tableColumns count="4">
    <tableColumn id="1" xr3:uid="{ADE7BBE8-1C8E-3649-A579-43DF3A354084}" name="Region" dataDxfId="2196"/>
    <tableColumn id="2" xr3:uid="{32EFA667-A879-4E4E-97CB-2988D6BC0485}" name="Any difficulty" dataDxfId="2195"/>
    <tableColumn id="3" xr3:uid="{8011C468-410D-3D41-AC81-B13E44397069}" name="Some difficulty" dataDxfId="2194"/>
    <tableColumn id="4" xr3:uid="{B5CCA5EF-CA85-1649-B476-D3C0D6B431BD}" name="At least a lot of difficulty" dataDxfId="2193"/>
  </tableColumns>
  <tableStyleInfo name="TableStyleMedium2" showFirstColumn="1"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7F4C39F3-FCEE-2148-B1B4-F70D32289A0E}" name="Table_E2.5.a_Share_of_urban_residents_who_have_less_than_primary_school_completion_Percentage_disaggregation_a" displayName="Table_E2.5.a_Share_of_urban_residents_who_have_less_than_primary_school_completion_Percentage_disaggregation_a" ref="A34:E39" totalsRowShown="0" headerRowDxfId="1751" dataDxfId="1750">
  <autoFilter ref="A34:E39" xr:uid="{7F4C39F3-FCEE-2148-B1B4-F70D32289A0E}"/>
  <tableColumns count="5">
    <tableColumn id="1" xr3:uid="{F9784629-2DEA-DD44-8D1D-81083C168596}" name="Region" dataDxfId="1749"/>
    <tableColumn id="2" xr3:uid="{B73AF86D-6296-F94E-8DA1-99D70E45D8D5}" name="No difficulty" dataDxfId="1748"/>
    <tableColumn id="3" xr3:uid="{D2C44447-D68E-254A-AC67-1E0225DDC793}" name="Any difficulty" dataDxfId="1747"/>
    <tableColumn id="4" xr3:uid="{5BADFD76-3863-F940-B5DC-FE4E288DAC87}" name="Difference" dataDxfId="1746"/>
    <tableColumn id="5" xr3:uid="{68E6B9AE-1914-0E4E-ACB3-FFD7DE2EA374}" name="Statistical Significance of the Difference" dataDxfId="1745"/>
  </tableColumns>
  <tableStyleInfo name="TableStyleMedium2" showFirstColumn="1"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A920DF2C-C24E-C743-A7C5-5AFF8EE59615}" name="Table_E2.5.b_Share_of_urban_residents_who_have_less_than_primary_school_completion_Percentage_disaggregation_b" displayName="Table_E2.5.b_Share_of_urban_residents_who_have_less_than_primary_school_completion_Percentage_disaggregation_b" ref="G34:N39" totalsRowShown="0" headerRowDxfId="1744" dataDxfId="1743">
  <autoFilter ref="G34:N39" xr:uid="{A920DF2C-C24E-C743-A7C5-5AFF8EE59615}"/>
  <tableColumns count="8">
    <tableColumn id="1" xr3:uid="{8BDDB5F9-2BD3-8A4B-A20A-CA3391CD645C}" name="Region" dataDxfId="1742"/>
    <tableColumn id="2" xr3:uid="{750C6D41-12F3-C941-B17A-843EA3623B31}" name="No difficulty" dataDxfId="1741"/>
    <tableColumn id="3" xr3:uid="{9DB04D3E-A647-2547-B232-FDBBFB0BE11F}" name="Some difficulty" dataDxfId="1740"/>
    <tableColumn id="4" xr3:uid="{394D6504-B940-C247-9E3D-BA72ADEBF527}" name="Difference" dataDxfId="1739"/>
    <tableColumn id="5" xr3:uid="{ED6C109A-D610-1542-8E71-72D309038EF2}" name="Statistical Significance of the Difference" dataDxfId="1738"/>
    <tableColumn id="6" xr3:uid="{26308A67-A057-684F-B250-3EA096282E71}" name="At least a lot of difficulty" dataDxfId="1737"/>
    <tableColumn id="7" xr3:uid="{DDF82CBB-A549-2A4B-AF39-08143B8013D4}" name="Difference No difficulty &amp; At least a lot of difficulty" dataDxfId="1736"/>
    <tableColumn id="8" xr3:uid="{FEB9CD60-D39B-004D-A4C5-7342836F5346}" name="Statistical Significance of the Difference (No difficulty vs At least a lot)" dataDxfId="1735"/>
  </tableColumns>
  <tableStyleInfo name="TableStyleMedium2" showFirstColumn="1"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23E0FD6D-F07A-724C-9ACB-A56AC3CF8774}" name="Table_E2.5.c_Share_of_urban_residents_who_have_less_than_primary_school_completion_Percentage_disaggregation_c" displayName="Table_E2.5.c_Share_of_urban_residents_who_have_less_than_primary_school_completion_Percentage_disaggregation_c" ref="P34:T39" totalsRowShown="0" headerRowDxfId="1734" dataDxfId="1733">
  <autoFilter ref="P34:T39" xr:uid="{23E0FD6D-F07A-724C-9ACB-A56AC3CF8774}"/>
  <tableColumns count="5">
    <tableColumn id="1" xr3:uid="{4617CA7B-C887-D240-B146-4CD5EC8DF85C}" name="Region" dataDxfId="1732"/>
    <tableColumn id="2" xr3:uid="{48CEAB43-74B7-F144-8E79-F3AC8E1F1108}" name="No or some difficulty" dataDxfId="1731"/>
    <tableColumn id="3" xr3:uid="{244AD945-5ACF-2945-9A63-B7A285EE7E94}" name="At least a lot of difficulty" dataDxfId="1730"/>
    <tableColumn id="4" xr3:uid="{122824AC-BEF0-D948-9595-EEF28E2E58DE}" name="Difference" dataDxfId="1729"/>
    <tableColumn id="5" xr3:uid="{8244A185-8E5F-5C41-BBDB-F0AF818D0CBC}" name="Statistical Significance of the Difference" dataDxfId="1728"/>
  </tableColumns>
  <tableStyleInfo name="TableStyleMedium2" showFirstColumn="1"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41620A1-9162-054C-B98B-313244F4944E}" name="Table_E2.6.a_Share_of_adults_age_15_to_44_who_have_less_than_primary_school_completion_Percentage_disaggregation_a" displayName="Table_E2.6.a_Share_of_adults_age_15_to_44_who_have_less_than_primary_school_completion_Percentage_disaggregation_a" ref="A42:E47" totalsRowShown="0" headerRowDxfId="1727" dataDxfId="1726">
  <autoFilter ref="A42:E47" xr:uid="{041620A1-9162-054C-B98B-313244F4944E}"/>
  <tableColumns count="5">
    <tableColumn id="1" xr3:uid="{250AC430-0F31-CC4C-AAE4-05B270D6ECC1}" name="Region" dataDxfId="1725"/>
    <tableColumn id="2" xr3:uid="{0C3ACFDC-88FC-684C-AEA9-6CA4A2E9D7BD}" name="No difficulty" dataDxfId="1724"/>
    <tableColumn id="3" xr3:uid="{3CF5FBE9-2E1E-C343-B8A8-0AA3C4E75623}" name="Any difficulty" dataDxfId="1723"/>
    <tableColumn id="4" xr3:uid="{84F0F265-8EC7-654E-A612-67BB8ABE0760}" name="Difference" dataDxfId="1722"/>
    <tableColumn id="5" xr3:uid="{7E7FA2A8-A1D9-3145-B8BF-536B196A56BD}" name="Statistical Significance of the Difference" dataDxfId="1721"/>
  </tableColumns>
  <tableStyleInfo name="TableStyleMedium2" showFirstColumn="1"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C5FC0845-9954-B141-A4F1-E28F28DDB41A}" name="Table_E2.6.b_Share_of_adults_age_15_to_44_who_have_less_than_primary_school_completion_Percentage_disaggregation_b" displayName="Table_E2.6.b_Share_of_adults_age_15_to_44_who_have_less_than_primary_school_completion_Percentage_disaggregation_b" ref="G42:N47" totalsRowShown="0" headerRowDxfId="1720" dataDxfId="1719">
  <autoFilter ref="G42:N47" xr:uid="{C5FC0845-9954-B141-A4F1-E28F28DDB41A}"/>
  <tableColumns count="8">
    <tableColumn id="1" xr3:uid="{7F81D0C9-6200-EA43-A124-AC6DADD9425C}" name="Region" dataDxfId="1718"/>
    <tableColumn id="2" xr3:uid="{F6F5E970-2198-2B41-BFC8-5C5D2D7FCB89}" name="No difficulty" dataDxfId="1717"/>
    <tableColumn id="3" xr3:uid="{0D8FA636-6F2B-D246-8E46-DC1EFC9983B3}" name="Some difficulty" dataDxfId="1716"/>
    <tableColumn id="4" xr3:uid="{5AAE999F-F857-CF4F-A242-7B1E54520426}" name="Difference" dataDxfId="1715"/>
    <tableColumn id="5" xr3:uid="{E606DE51-9FEB-724D-BDB1-2EA169607E54}" name="Statistical Significance of the Difference" dataDxfId="1714"/>
    <tableColumn id="6" xr3:uid="{24804FD4-48DB-2641-B89B-ECFC39620E6A}" name="At least a lot of difficulty" dataDxfId="1713"/>
    <tableColumn id="7" xr3:uid="{7E43BCBA-820C-414A-A95B-287F0D7B76DA}" name="Difference No difficulty &amp; At least a lot of difficulty" dataDxfId="1712"/>
    <tableColumn id="8" xr3:uid="{C06389D1-7FE9-FA4E-BB8C-B480C71DD840}" name="Statistical Significance of the Difference (No difficulty vs At least a lot)" dataDxfId="1711"/>
  </tableColumns>
  <tableStyleInfo name="TableStyleMedium2" showFirstColumn="1"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1FA9BB2B-EEEE-9644-8AF8-2CC24A461B06}" name="Table_E2.6.c_Share_of_adults_age_15_to_44_who_have_less_than_primary_school_completion_Percentage_disaggregation_c" displayName="Table_E2.6.c_Share_of_adults_age_15_to_44_who_have_less_than_primary_school_completion_Percentage_disaggregation_c" ref="P42:T47" totalsRowShown="0" headerRowDxfId="1710" dataDxfId="1709">
  <autoFilter ref="P42:T47" xr:uid="{1FA9BB2B-EEEE-9644-8AF8-2CC24A461B06}"/>
  <tableColumns count="5">
    <tableColumn id="1" xr3:uid="{59B0BDA9-9504-DB48-BEBE-A2AD27083FBA}" name="Region" dataDxfId="1708"/>
    <tableColumn id="2" xr3:uid="{085CEBCA-F943-BE49-9801-36E6419036E5}" name="No or some difficulty" dataDxfId="1707"/>
    <tableColumn id="3" xr3:uid="{1ADD81F9-F495-C748-8467-1D9764530EB1}" name="At least a lot of difficulty" dataDxfId="1706"/>
    <tableColumn id="4" xr3:uid="{6333B8D8-46A5-1B4E-81F6-01EB1FDF7831}" name="Difference" dataDxfId="1705"/>
    <tableColumn id="5" xr3:uid="{7B81B036-490B-414E-A813-B2F10DFE98A9}" name="Statistical Significance of the Difference" dataDxfId="1704"/>
  </tableColumns>
  <tableStyleInfo name="TableStyleMedium2" showFirstColumn="1"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4FF39EED-AEF9-7441-9E9E-99FBF2926976}" name="Table_E2.7.a_Share_of_adults_age_45_and_older_who_have_less_than_primary_school_completion_Percentage_disaggregation_a" displayName="Table_E2.7.a_Share_of_adults_age_45_and_older_who_have_less_than_primary_school_completion_Percentage_disaggregation_a" ref="A50:E55" totalsRowShown="0" headerRowDxfId="1703" dataDxfId="1702">
  <autoFilter ref="A50:E55" xr:uid="{4FF39EED-AEF9-7441-9E9E-99FBF2926976}"/>
  <tableColumns count="5">
    <tableColumn id="1" xr3:uid="{3614ADB4-4D86-AE4E-AA45-18B463DF29BB}" name="Region" dataDxfId="1701"/>
    <tableColumn id="2" xr3:uid="{8B929810-4C5E-B94B-BDCF-202E29B6E206}" name="No difficulty" dataDxfId="1700"/>
    <tableColumn id="3" xr3:uid="{8EE05D07-28F0-6E42-9792-A485F915C986}" name="Any difficulty" dataDxfId="1699"/>
    <tableColumn id="4" xr3:uid="{3CD50945-7C4D-DE4B-B9C3-EA8FC85DE3D9}" name="Difference" dataDxfId="1698"/>
    <tableColumn id="5" xr3:uid="{0CD8C962-9A8C-524E-9908-8CC677C9EBF0}" name="Statistical Significance of the Difference" dataDxfId="1697"/>
  </tableColumns>
  <tableStyleInfo name="TableStyleMedium2" showFirstColumn="1"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D6E22081-3D9E-D645-9B92-7618FDECAFDB}" name="Table_E2.7.b_Share_of_adults_age_45_and_older_who_have_less_than_primary_school_completion_Percentage_disaggregation_b" displayName="Table_E2.7.b_Share_of_adults_age_45_and_older_who_have_less_than_primary_school_completion_Percentage_disaggregation_b" ref="G50:N55" totalsRowShown="0" headerRowDxfId="1696" dataDxfId="1695">
  <autoFilter ref="G50:N55" xr:uid="{D6E22081-3D9E-D645-9B92-7618FDECAFDB}"/>
  <tableColumns count="8">
    <tableColumn id="1" xr3:uid="{151FB6CD-260C-A746-B1F0-A0B361375E27}" name="Region" dataDxfId="1694"/>
    <tableColumn id="2" xr3:uid="{74A1328E-EE7F-6641-93F0-D2EBD5CAFC05}" name="No difficulty" dataDxfId="1693"/>
    <tableColumn id="3" xr3:uid="{D7A5FF21-7648-5442-BC8D-8598C21935C9}" name="Some difficulty" dataDxfId="1692"/>
    <tableColumn id="4" xr3:uid="{F91136B9-D22E-6442-919D-1BFA24E86EAC}" name="Difference" dataDxfId="1691"/>
    <tableColumn id="5" xr3:uid="{6939390F-B7BD-8A44-84CA-93434E29B4AB}" name="Statistical Significance of the Difference" dataDxfId="1690"/>
    <tableColumn id="6" xr3:uid="{F7C01499-2A95-6846-82E9-7641178D41BD}" name="At least a lot of difficulty" dataDxfId="1689"/>
    <tableColumn id="7" xr3:uid="{F0DE7D3D-02BF-0349-B001-26BDA51CE188}" name="Difference No difficulty &amp; At least a lot of difficulty" dataDxfId="1688"/>
    <tableColumn id="8" xr3:uid="{5ED20880-3FD9-9849-A768-CB79676AB0D1}" name="Statistical Significance of the Difference (No difficulty vs At least a lot)" dataDxfId="1687"/>
  </tableColumns>
  <tableStyleInfo name="TableStyleMedium2" showFirstColumn="1"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90ED7833-88F6-B34F-963C-A32ED377493D}" name="Table_E2.7.c_Share_of_adults_age_45_and_older_who_have_less_than_primary_school_completion_Percentage_disaggregation_c" displayName="Table_E2.7.c_Share_of_adults_age_45_and_older_who_have_less_than_primary_school_completion_Percentage_disaggregation_c" ref="P50:T55" totalsRowShown="0" headerRowDxfId="1686" dataDxfId="1685">
  <autoFilter ref="P50:T55" xr:uid="{90ED7833-88F6-B34F-963C-A32ED377493D}"/>
  <tableColumns count="5">
    <tableColumn id="1" xr3:uid="{E2452219-F35D-E947-B0A8-13C695792042}" name="Region" dataDxfId="1684"/>
    <tableColumn id="2" xr3:uid="{111F4D6D-4532-894D-A471-00B1828F6737}" name="No or some difficulty" dataDxfId="1683"/>
    <tableColumn id="3" xr3:uid="{43227747-87A7-4942-B09F-8377E1520387}" name="At least a lot of difficulty" dataDxfId="1682"/>
    <tableColumn id="4" xr3:uid="{080A11F8-5DF8-3A48-AE61-A38BBAF0FBD7}" name="Difference" dataDxfId="1681"/>
    <tableColumn id="5" xr3:uid="{DFB0D16E-E0A8-CD41-88E8-719E190C2B6B}" name="Statistical Significance of the Difference" dataDxfId="1680"/>
  </tableColumns>
  <tableStyleInfo name="TableStyleMedium2" showFirstColumn="1"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400F6399-87C1-5942-8190-1336F484550C}" name="Table_E3.1.a_Share_of_all_adults_who_have_completed_primary_school_Percentage_disaggregation_a" displayName="Table_E3.1.a_Share_of_all_adults_who_have_completed_primary_school_Percentage_disaggregation_a" ref="A2:E7" totalsRowShown="0" headerRowDxfId="1679" dataDxfId="1678">
  <autoFilter ref="A2:E7" xr:uid="{400F6399-87C1-5942-8190-1336F484550C}"/>
  <tableColumns count="5">
    <tableColumn id="1" xr3:uid="{DC49013B-3C3A-2D44-BAE6-0F6A63E68A6C}" name="Region" dataDxfId="1677"/>
    <tableColumn id="2" xr3:uid="{DB4CDF63-507F-2241-8D51-CC0D3B9760BD}" name="No difficulty" dataDxfId="1676"/>
    <tableColumn id="3" xr3:uid="{3CE13B62-3205-E84B-869A-4579A95C4871}" name="Any difficulty" dataDxfId="1675"/>
    <tableColumn id="4" xr3:uid="{5FA10060-CCA0-5E45-85A3-966D53769A15}" name="Difference" dataDxfId="1674"/>
    <tableColumn id="5" xr3:uid="{8C54CC86-5E29-B84A-A7FA-DB5C5EF65E14}" name="Statistical Significance of the Difference" dataDxfId="1673">
      <calculatedColumnFormula>IF(       0&lt;0.01,"***",IF(       0&lt;0.05,"**",IF(       0&lt;0.1,"*","NS")))</calculatedColumnFormula>
    </tableColumn>
  </tableColumns>
  <tableStyleInfo name="TableStyleMedium2"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52A8989-562F-9940-9379-1269D005C623}" name="Table_P1.6_Share_of_adults_age_15_to_44_with_functional_difficulties_Percentage" displayName="Table_P1.6_Share_of_adults_age_15_to_44_with_functional_difficulties_Percentage" ref="A42:D47" totalsRowShown="0" headerRowDxfId="2192" dataDxfId="2191">
  <autoFilter ref="A42:D47" xr:uid="{252A8989-562F-9940-9379-1269D005C623}"/>
  <tableColumns count="4">
    <tableColumn id="1" xr3:uid="{9ABA8419-7F10-F843-A20A-E20D5025B50D}" name="Region" dataDxfId="2190"/>
    <tableColumn id="2" xr3:uid="{17D4AF9C-4E2B-9F45-AF8E-A8C535C30AD1}" name="Any difficulty" dataDxfId="2189"/>
    <tableColumn id="3" xr3:uid="{53C39E87-45E4-FF43-8568-E1D4B5AD527C}" name="Some difficulty" dataDxfId="2188"/>
    <tableColumn id="4" xr3:uid="{35412A10-8CCA-374A-88D3-8712B6986F2F}" name="At least a lot of difficulty" dataDxfId="2187"/>
  </tableColumns>
  <tableStyleInfo name="TableStyleMedium2" showFirstColumn="1"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3F2559C6-D4B1-1845-97EC-B5A2E093F83B}" name="Table_E3.1.b_Share_of_all_adults_who_have_completed_primary_school_Percentage_disaggregation_b" displayName="Table_E3.1.b_Share_of_all_adults_who_have_completed_primary_school_Percentage_disaggregation_b" ref="G2:N7" totalsRowShown="0" headerRowDxfId="1672" dataDxfId="1671">
  <autoFilter ref="G2:N7" xr:uid="{3F2559C6-D4B1-1845-97EC-B5A2E093F83B}"/>
  <tableColumns count="8">
    <tableColumn id="1" xr3:uid="{7DF32F53-1596-564E-B10F-8F34978FD233}" name="Region" dataDxfId="1670"/>
    <tableColumn id="2" xr3:uid="{46093EC3-A7B4-2C45-8673-2EF477EBB5F7}" name="No difficulty" dataDxfId="1669"/>
    <tableColumn id="3" xr3:uid="{928B1128-FD5A-194F-A469-FA8549A58968}" name="Some difficulty" dataDxfId="1668"/>
    <tableColumn id="4" xr3:uid="{7E16C259-7011-7449-A36B-FD62581F2ECA}" name="Difference" dataDxfId="1667"/>
    <tableColumn id="5" xr3:uid="{CF035BBD-D1AF-9747-9CE2-45D64667C37A}" name="Statistical Significance of the Difference" dataDxfId="1666"/>
    <tableColumn id="6" xr3:uid="{5E22E055-AFA4-2840-81F9-B659F488DDC8}" name="At least a lot of difficulty" dataDxfId="1665"/>
    <tableColumn id="7" xr3:uid="{D88E07ED-DFEB-6540-A140-BD58C89D521B}" name="Difference No difficulty &amp; At least a lot of difficulty" dataDxfId="1664"/>
    <tableColumn id="8" xr3:uid="{630B48D3-1CDC-DA42-AC5B-94FC4C670517}" name="Statistical Significance of the Difference (No difficulty vs At least a lot)" dataDxfId="1663">
      <calculatedColumnFormula>IF(       0&lt;0.01,"***",IF(       0&lt;0.05,"**",IF(       0&lt;0.1,"*","NS")))</calculatedColumnFormula>
    </tableColumn>
  </tableColumns>
  <tableStyleInfo name="TableStyleMedium2" showFirstColumn="1"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B9A91397-9595-914B-BC15-A2B2E4ECA486}" name="Table_E3.1.c_Share_of_all_adults_who_have_completed_primary_school_Percentage_disaggregation_c" displayName="Table_E3.1.c_Share_of_all_adults_who_have_completed_primary_school_Percentage_disaggregation_c" ref="P2:T7" totalsRowShown="0" headerRowDxfId="1662" dataDxfId="1661">
  <autoFilter ref="P2:T7" xr:uid="{B9A91397-9595-914B-BC15-A2B2E4ECA486}"/>
  <tableColumns count="5">
    <tableColumn id="1" xr3:uid="{B8C515F2-5387-4841-9938-2FDD5A5F6846}" name="Region" dataDxfId="1660"/>
    <tableColumn id="2" xr3:uid="{A3C4B783-02C5-404E-A1DF-F2171CE5C0C9}" name="No or some difficulty" dataDxfId="1659"/>
    <tableColumn id="3" xr3:uid="{14070B9D-3014-764C-B4BD-5BBF30D4130A}" name="At least a lot of difficulty" dataDxfId="1658"/>
    <tableColumn id="4" xr3:uid="{129E3FE8-C622-0840-9FFA-1F7F8BFDCA14}" name="Difference" dataDxfId="1657"/>
    <tableColumn id="5" xr3:uid="{E674FD10-0A03-5441-83D9-3BF68C2B9096}" name="Statistical Significance of the Difference" dataDxfId="1656">
      <calculatedColumnFormula>IF(       0&lt;0.01,"***",IF(       0&lt;0.05,"**",IF(       0&lt;0.1,"*","NS")))</calculatedColumnFormula>
    </tableColumn>
  </tableColumns>
  <tableStyleInfo name="TableStyleMedium2" showFirstColumn="1"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46FDB85E-39C6-5645-819E-5B72E7B5C3BA}" name="Table_E3.2.a_Share_of_females_who_have_completed_primary_school_Percentage_disaggregation_a" displayName="Table_E3.2.a_Share_of_females_who_have_completed_primary_school_Percentage_disaggregation_a" ref="A10:E15" totalsRowShown="0" headerRowDxfId="1655" dataDxfId="1654">
  <autoFilter ref="A10:E15" xr:uid="{46FDB85E-39C6-5645-819E-5B72E7B5C3BA}"/>
  <tableColumns count="5">
    <tableColumn id="1" xr3:uid="{469043B3-BB29-E04D-89E2-7384C07D9381}" name="Region" dataDxfId="1653"/>
    <tableColumn id="2" xr3:uid="{D4A54686-780D-7F4E-9074-2B62EDD92B2A}" name="No difficulty" dataDxfId="1652"/>
    <tableColumn id="3" xr3:uid="{5F729FFA-65E7-264D-AF48-8C53396FBB22}" name="Any difficulty" dataDxfId="1651"/>
    <tableColumn id="4" xr3:uid="{9EABDBC0-89AC-8948-BBFA-602072522745}" name="Difference" dataDxfId="1650"/>
    <tableColumn id="5" xr3:uid="{9B28ADFD-8D81-D848-BC54-2D543B898DD2}" name="Statistical Significance of the Difference" dataDxfId="1649"/>
  </tableColumns>
  <tableStyleInfo name="TableStyleMedium2" showFirstColumn="1"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EE5F1027-B7A7-AE4B-98E5-D2119C1BFF68}" name="Table_E3.2.b_Share_of_females_who_have_completed_primary_school_Percentage_disaggregation_b" displayName="Table_E3.2.b_Share_of_females_who_have_completed_primary_school_Percentage_disaggregation_b" ref="G10:N15" totalsRowShown="0" headerRowDxfId="1648" dataDxfId="1647">
  <autoFilter ref="G10:N15" xr:uid="{EE5F1027-B7A7-AE4B-98E5-D2119C1BFF68}"/>
  <tableColumns count="8">
    <tableColumn id="1" xr3:uid="{4EE9B187-D7C6-4B40-8C3A-298DBC2B5D6E}" name="Region" dataDxfId="1646"/>
    <tableColumn id="2" xr3:uid="{924BAB84-1958-C642-83B1-A03AF32F8B96}" name="No difficulty" dataDxfId="1645"/>
    <tableColumn id="3" xr3:uid="{B029E98E-2C31-DE46-A66D-2C24CD3D3ED6}" name="Some difficulty" dataDxfId="1644"/>
    <tableColumn id="4" xr3:uid="{84729E25-081A-E348-ADEE-D58997295EA0}" name="Difference" dataDxfId="1643"/>
    <tableColumn id="5" xr3:uid="{4F0D1826-24BD-8C43-9BF0-4C4A91091BB5}" name="Statistical Significance of the Difference" dataDxfId="1642"/>
    <tableColumn id="6" xr3:uid="{33AC087D-AC3F-7641-979D-BE8C5E5963E9}" name="At least a lot of difficulty" dataDxfId="1641"/>
    <tableColumn id="7" xr3:uid="{D70959AC-4CEC-D044-8C1E-CE4D0A98BC13}" name="Difference No difficulty &amp; At least a lot of difficulty" dataDxfId="1640"/>
    <tableColumn id="8" xr3:uid="{04A819D2-F632-D748-A6F8-618910BA3868}" name="Statistical Significance of the Difference (No difficulty vs At least a lot)" dataDxfId="1639">
      <calculatedColumnFormula>IF(       0&lt;0.01,"***",IF(       0&lt;0.05,"**",IF(       0&lt;0.1,"*","NS")))</calculatedColumnFormula>
    </tableColumn>
  </tableColumns>
  <tableStyleInfo name="TableStyleMedium2" showFirstColumn="1"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B692C565-2D36-C445-AE57-84B279864F7E}" name="Table_E3.2.c_Share_of_females_who_have_completed_primary_school_Percentage_disaggregation_c" displayName="Table_E3.2.c_Share_of_females_who_have_completed_primary_school_Percentage_disaggregation_c" ref="P10:T15" totalsRowShown="0" headerRowDxfId="1638" dataDxfId="1637">
  <autoFilter ref="P10:T15" xr:uid="{B692C565-2D36-C445-AE57-84B279864F7E}"/>
  <tableColumns count="5">
    <tableColumn id="1" xr3:uid="{3A49561C-14C4-8343-A0D1-0D5C0C2D79A3}" name="Region" dataDxfId="1636"/>
    <tableColumn id="2" xr3:uid="{8070CCB7-E698-824C-9348-7FB138E9D951}" name="No or some difficulty" dataDxfId="1635"/>
    <tableColumn id="3" xr3:uid="{5D72D5C7-50C0-9E41-AE76-05C397A9D595}" name="At least a lot of difficulty" dataDxfId="1634"/>
    <tableColumn id="4" xr3:uid="{25E19732-C969-0542-B56C-DEC9BAC2A60F}" name="Difference" dataDxfId="1633"/>
    <tableColumn id="5" xr3:uid="{2E6279C2-9779-234D-908F-2B94A260315D}" name="Statistical Significance of the Difference" dataDxfId="1632">
      <calculatedColumnFormula>IF(       0&lt;0.01,"***",IF(       0&lt;0.05,"**",IF(       0&lt;0.1,"*","NS")))</calculatedColumnFormula>
    </tableColumn>
  </tableColumns>
  <tableStyleInfo name="TableStyleMedium2" showFirstColumn="1"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FEB4A3F0-C0ED-A546-AEBD-6E555946625A}" name="Table_E3.3.a_Share_of_males_who_have_completed_primary_school_Percentage_disaggregation_a" displayName="Table_E3.3.a_Share_of_males_who_have_completed_primary_school_Percentage_disaggregation_a" ref="A18:E23" totalsRowShown="0" headerRowDxfId="1631" dataDxfId="1630">
  <autoFilter ref="A18:E23" xr:uid="{FEB4A3F0-C0ED-A546-AEBD-6E555946625A}"/>
  <tableColumns count="5">
    <tableColumn id="1" xr3:uid="{7D0A5E6C-2AE8-A74F-A801-BE78EB7709C5}" name="Region" dataDxfId="1629"/>
    <tableColumn id="2" xr3:uid="{EA760639-9FBD-1C45-94B2-C3C0C520DBB0}" name="No difficulty" dataDxfId="1628"/>
    <tableColumn id="3" xr3:uid="{32ABAEBC-E14A-3844-9277-34A7F52A64C4}" name="Any difficulty" dataDxfId="1627"/>
    <tableColumn id="4" xr3:uid="{FB88BC4F-FF89-9A48-969A-3CBC5BB1872E}" name="Difference" dataDxfId="1626"/>
    <tableColumn id="5" xr3:uid="{FA56809D-4C6E-504C-BAD4-8D8E6EF10370}" name="Statistical Significance of the Difference" dataDxfId="1625">
      <calculatedColumnFormula>IF(       0&lt;0.01,"***",IF(       0&lt;0.05,"**",IF(       0&lt;0.1,"*","NS")))</calculatedColumnFormula>
    </tableColumn>
  </tableColumns>
  <tableStyleInfo name="TableStyleMedium2" showFirstColumn="1"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B2BDD1AB-CD1E-F340-A4AE-10EE2B900ED2}" name="Table_E3.3.b_Share_of_males_who_have_completed_primary_school_Percentage_disaggregation_b" displayName="Table_E3.3.b_Share_of_males_who_have_completed_primary_school_Percentage_disaggregation_b" ref="G18:N23" totalsRowShown="0" headerRowDxfId="1624" dataDxfId="1623">
  <autoFilter ref="G18:N23" xr:uid="{B2BDD1AB-CD1E-F340-A4AE-10EE2B900ED2}"/>
  <tableColumns count="8">
    <tableColumn id="1" xr3:uid="{8DDBDBA1-5E62-8943-8A86-802A64300D7D}" name="Region" dataDxfId="1622"/>
    <tableColumn id="2" xr3:uid="{7DB6E14D-AD63-DA48-9BA0-9679A33061AC}" name="No difficulty" dataDxfId="1621"/>
    <tableColumn id="3" xr3:uid="{FEE52E1A-FB83-AA45-8477-14251258959D}" name="Some difficulty" dataDxfId="1620"/>
    <tableColumn id="4" xr3:uid="{094CA01A-12BF-A645-9F4B-C8FD86A71CA2}" name="Difference" dataDxfId="1619"/>
    <tableColumn id="5" xr3:uid="{E83A68D3-31B5-D94D-8122-6AE7C8613758}" name="Statistical Significance of the Difference" dataDxfId="1618"/>
    <tableColumn id="6" xr3:uid="{80017E7D-8950-3E45-B4DA-C65EBC48CCB6}" name="At least a lot of difficulty" dataDxfId="1617"/>
    <tableColumn id="7" xr3:uid="{F6E64BDE-0D26-E14F-85C0-9DB791C5875C}" name="Difference No difficulty &amp; At least a lot of difficulty" dataDxfId="1616"/>
    <tableColumn id="8" xr3:uid="{5179127F-D239-8D48-A0CF-8C46ACF9515D}" name="Statistical Significance of the Difference (No difficulty vs At least a lot)" dataDxfId="1615">
      <calculatedColumnFormula>IF(       0&lt;0.01,"***",IF(       0&lt;0.05,"**",IF(       0&lt;0.1,"*","NS")))</calculatedColumnFormula>
    </tableColumn>
  </tableColumns>
  <tableStyleInfo name="TableStyleMedium2" showFirstColumn="1"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BA8D6573-775B-B242-9E3E-F54AAE3CCDE7}" name="Table_E3.3.c_Share_of_males_who_have_completed_primary_school_Percentage_disaggregation_c" displayName="Table_E3.3.c_Share_of_males_who_have_completed_primary_school_Percentage_disaggregation_c" ref="P18:T23" totalsRowShown="0" headerRowDxfId="1614" dataDxfId="1613">
  <autoFilter ref="P18:T23" xr:uid="{BA8D6573-775B-B242-9E3E-F54AAE3CCDE7}"/>
  <tableColumns count="5">
    <tableColumn id="1" xr3:uid="{E80375AD-C84C-8941-867A-6055E69E79A5}" name="Region" dataDxfId="1612"/>
    <tableColumn id="2" xr3:uid="{0A9CC483-F078-F144-8690-63B67E962E6F}" name="No or some difficulty" dataDxfId="1611"/>
    <tableColumn id="3" xr3:uid="{48D88EA1-1C5A-A544-AF2F-E398DF5E3D75}" name="At least a lot of difficulty" dataDxfId="1610"/>
    <tableColumn id="4" xr3:uid="{396A79A0-9FDF-8F41-8A11-FBC26BA08227}" name="Difference" dataDxfId="1609"/>
    <tableColumn id="5" xr3:uid="{E6335EAE-1879-914F-A8EC-E805F2F0CC66}" name="Statistical Significance of the Difference" dataDxfId="1608">
      <calculatedColumnFormula>IF(       0&lt;0.01,"***",IF(       0&lt;0.05,"**",IF(       0&lt;0.1,"*","NS")))</calculatedColumnFormula>
    </tableColumn>
  </tableColumns>
  <tableStyleInfo name="TableStyleMedium2" showFirstColumn="1"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CE90C7A5-A8DD-E941-9D1A-E5CD4FD6A3C8}" name="Table_E3.4.a_Share_of_rural_residents_who_have_completed_primary_school_Percentage_disaggregation_a" displayName="Table_E3.4.a_Share_of_rural_residents_who_have_completed_primary_school_Percentage_disaggregation_a" ref="A26:E31" totalsRowShown="0" headerRowDxfId="1607" dataDxfId="1606">
  <autoFilter ref="A26:E31" xr:uid="{CE90C7A5-A8DD-E941-9D1A-E5CD4FD6A3C8}"/>
  <tableColumns count="5">
    <tableColumn id="1" xr3:uid="{3C0E5FB7-C880-B44E-BCD0-2D372673FAA5}" name="Region" dataDxfId="1605"/>
    <tableColumn id="2" xr3:uid="{7053FF86-E100-EE4C-AF6A-5A2F063A256E}" name="No difficulty" dataDxfId="1604"/>
    <tableColumn id="3" xr3:uid="{7496625B-0791-3846-ACAE-56B2AE084986}" name="Any difficulty" dataDxfId="1603"/>
    <tableColumn id="4" xr3:uid="{388B5891-5FA5-D849-A88A-F5DE526D0549}" name="Difference" dataDxfId="1602"/>
    <tableColumn id="5" xr3:uid="{381D192B-260C-6641-ACFB-4E1248A9B8DD}" name="Statistical Significance of the Difference" dataDxfId="1601">
      <calculatedColumnFormula>IF(       0&lt;0.01,"***",IF(       0&lt;0.05,"**",IF(       0&lt;0.1,"*","NS")))</calculatedColumnFormula>
    </tableColumn>
  </tableColumns>
  <tableStyleInfo name="TableStyleMedium2" showFirstColumn="1"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A538011-A0DC-5744-851B-6E2C635FAD32}" name="Table_E3.4.b_Share_of_rural_residents_who_have_completed_primary_school_Percentage_disaggregation_b" displayName="Table_E3.4.b_Share_of_rural_residents_who_have_completed_primary_school_Percentage_disaggregation_b" ref="G26:N31" totalsRowShown="0" headerRowDxfId="1600" dataDxfId="1599">
  <autoFilter ref="G26:N31" xr:uid="{0A538011-A0DC-5744-851B-6E2C635FAD32}"/>
  <tableColumns count="8">
    <tableColumn id="1" xr3:uid="{70A7FA80-1290-664A-8721-4A586BE6D0BB}" name="Region" dataDxfId="1598"/>
    <tableColumn id="2" xr3:uid="{7B50DF0D-37D1-4C44-93BA-8D36FD03294C}" name="No difficulty" dataDxfId="1597"/>
    <tableColumn id="3" xr3:uid="{44A92975-E6D8-9541-A693-A656E2101580}" name="Some difficulty" dataDxfId="1596"/>
    <tableColumn id="4" xr3:uid="{E511CA1E-F1C6-0742-A6B4-CED051E5DE1F}" name="Difference" dataDxfId="1595"/>
    <tableColumn id="5" xr3:uid="{65542348-0432-064F-9BAB-8FB4730F1E40}" name="Statistical Significance of the Difference" dataDxfId="1594">
      <calculatedColumnFormula>IF(       0&lt;0.01,"***",IF(       0&lt;0.05,"**",IF(       0&lt;0.1,"*","NS")))</calculatedColumnFormula>
    </tableColumn>
    <tableColumn id="6" xr3:uid="{E85C73D2-7505-774E-9A69-7EF51C015510}" name="At least a lot of difficulty" dataDxfId="1593"/>
    <tableColumn id="7" xr3:uid="{485377E3-863A-C34C-BB29-DB3A4038295A}" name="Difference No difficulty &amp; At least a lot of difficulty" dataDxfId="1592"/>
    <tableColumn id="8" xr3:uid="{F097B376-C0DE-A845-AD0C-4CE832CE7710}" name="Statistical Significance of the Difference (No difficulty vs At least a lot)" dataDxfId="1591">
      <calculatedColumnFormula>IF(       0&lt;0.01,"***",IF(       0&lt;0.05,"**",IF(       0&lt;0.1,"*","NS")))</calculatedColumnFormula>
    </tableColumn>
  </tableColumns>
  <tableStyleInfo name="TableStyleMedium2"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2455817-7FD8-C94A-ABE3-4898DEC553D1}" name="Table_P1.7_Share_of_adults_age_45_and_older_with_functional_difficulties_Percentage" displayName="Table_P1.7_Share_of_adults_age_45_and_older_with_functional_difficulties_Percentage" ref="A50:D55" totalsRowShown="0" headerRowDxfId="2186" dataDxfId="2185">
  <autoFilter ref="A50:D55" xr:uid="{C2455817-7FD8-C94A-ABE3-4898DEC553D1}"/>
  <tableColumns count="4">
    <tableColumn id="1" xr3:uid="{62FD564E-9E1E-FB4A-9838-0E83C14BC0F7}" name="Region" dataDxfId="2184"/>
    <tableColumn id="2" xr3:uid="{662B3CB6-EEDF-F547-9C28-ECF0EAC66DF0}" name="Any difficulty" dataDxfId="2183"/>
    <tableColumn id="3" xr3:uid="{21060966-FBBE-E94C-86FB-468D9D5376B3}" name="Some difficulty" dataDxfId="2182"/>
    <tableColumn id="4" xr3:uid="{023501E4-8BF0-334E-8015-BF3D1A9D5DA9}" name="At least a lot of difficulty" dataDxfId="2181"/>
  </tableColumns>
  <tableStyleInfo name="TableStyleMedium2" showFirstColumn="1"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D2DC9A26-CC74-7948-9262-FCC7AB09708E}" name="Table_E3.4.c_Share_of_rural_residents_who_have_completed_primary_school_Percentage_disaggregation_c" displayName="Table_E3.4.c_Share_of_rural_residents_who_have_completed_primary_school_Percentage_disaggregation_c" ref="P26:T31" totalsRowShown="0" headerRowDxfId="1590" dataDxfId="1589">
  <autoFilter ref="P26:T31" xr:uid="{D2DC9A26-CC74-7948-9262-FCC7AB09708E}"/>
  <tableColumns count="5">
    <tableColumn id="1" xr3:uid="{0EDF1A82-AA89-1F45-AC2C-7A0B752B99DD}" name="Region" dataDxfId="1588"/>
    <tableColumn id="2" xr3:uid="{974D6403-A64C-5345-9CD2-94361C824679}" name="No or some difficulty" dataDxfId="1587"/>
    <tableColumn id="3" xr3:uid="{736EFFB5-40A8-C341-90E8-A85612EAD40C}" name="At least a lot of difficulty" dataDxfId="1586"/>
    <tableColumn id="4" xr3:uid="{D978C1BC-451C-4344-954A-BDAA67916DA1}" name="Difference" dataDxfId="1585"/>
    <tableColumn id="5" xr3:uid="{2CA18BB0-F135-0B46-A13A-4445B6234F40}" name="Statistical Significance of the Difference" dataDxfId="1584">
      <calculatedColumnFormula>IF(       0&lt;0.01,"***",IF(       0&lt;0.05,"**",IF(       0&lt;0.1,"*","NS")))</calculatedColumnFormula>
    </tableColumn>
  </tableColumns>
  <tableStyleInfo name="TableStyleMedium2" showFirstColumn="1"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92775D95-DA0A-3A44-B0DD-9E3353F67EBE}" name="Table_E3.5.a_Share_of_urban_residents_who_have_completed_primary_school_Percentage_disaggregation_a" displayName="Table_E3.5.a_Share_of_urban_residents_who_have_completed_primary_school_Percentage_disaggregation_a" ref="A34:E39" totalsRowShown="0" headerRowDxfId="1583" dataDxfId="1582">
  <autoFilter ref="A34:E39" xr:uid="{92775D95-DA0A-3A44-B0DD-9E3353F67EBE}"/>
  <tableColumns count="5">
    <tableColumn id="1" xr3:uid="{93163421-A45E-654D-A7AE-8A7C2B02E1FF}" name="Region" dataDxfId="1581"/>
    <tableColumn id="2" xr3:uid="{338D090B-428B-B449-90A4-F83F58A2255B}" name="No difficulty" dataDxfId="1580"/>
    <tableColumn id="3" xr3:uid="{9999CE0F-B0F9-CD41-AB14-1E8CA9BC4FF2}" name="Any difficulty" dataDxfId="1579"/>
    <tableColumn id="4" xr3:uid="{3A07545F-3CA3-A84F-A0E8-9F372BA080E4}" name="Difference" dataDxfId="1578"/>
    <tableColumn id="5" xr3:uid="{5BEDEDEE-412E-3244-8127-CA1347F0AB74}" name="Statistical Significance of the Difference" dataDxfId="1577"/>
  </tableColumns>
  <tableStyleInfo name="TableStyleMedium2" showFirstColumn="1"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762A1083-E6BF-3441-B896-026B98E3B85E}" name="Table_E3.5.b_Share_of_urban_residents_who_have_completed_primary_school_Percentage_disaggregation_b" displayName="Table_E3.5.b_Share_of_urban_residents_who_have_completed_primary_school_Percentage_disaggregation_b" ref="G34:N39" totalsRowShown="0" headerRowDxfId="1576" dataDxfId="1575">
  <autoFilter ref="G34:N39" xr:uid="{762A1083-E6BF-3441-B896-026B98E3B85E}"/>
  <tableColumns count="8">
    <tableColumn id="1" xr3:uid="{C73BC55D-B9B3-684D-9375-7183930C434A}" name="Region" dataDxfId="1574"/>
    <tableColumn id="2" xr3:uid="{25F3EAB6-51DF-2347-B3C2-B1B2451E06EE}" name="No difficulty" dataDxfId="1573"/>
    <tableColumn id="3" xr3:uid="{A12BF4B1-78EC-554B-BA1A-02BF43F22FB1}" name="Some difficulty" dataDxfId="1572"/>
    <tableColumn id="4" xr3:uid="{678ADDC2-F997-C54B-A1AB-3AA7CF0CD75B}" name="Difference" dataDxfId="1571"/>
    <tableColumn id="5" xr3:uid="{6E27EB83-F682-0242-A00E-018624BA1911}" name="Statistical Significance of the Difference" dataDxfId="1570"/>
    <tableColumn id="6" xr3:uid="{0C94803F-BC12-3F44-A149-26D703540D66}" name="At least a lot of difficulty" dataDxfId="1569"/>
    <tableColumn id="7" xr3:uid="{A574CBAA-2D09-6A4B-9478-5A8229B8B53A}" name="Difference No difficulty &amp; At least a lot of difficulty" dataDxfId="1568"/>
    <tableColumn id="8" xr3:uid="{77C5A03C-1578-E44B-ADAA-D22FA5D33634}" name="Statistical Significance of the Difference (No difficulty vs At least a lot)" dataDxfId="1567"/>
  </tableColumns>
  <tableStyleInfo name="TableStyleMedium2" showFirstColumn="1"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1C9A2B4B-E187-664C-A88F-915909E09E3E}" name="Table_E3.5.c_Share_of_urban_residents_who_have_completed_primary_school_Percentage_disaggregation_c" displayName="Table_E3.5.c_Share_of_urban_residents_who_have_completed_primary_school_Percentage_disaggregation_c" ref="P34:T39" totalsRowShown="0" headerRowDxfId="1566" dataDxfId="1565">
  <autoFilter ref="P34:T39" xr:uid="{1C9A2B4B-E187-664C-A88F-915909E09E3E}"/>
  <tableColumns count="5">
    <tableColumn id="1" xr3:uid="{6D7BB99D-27ED-B846-AD0C-E7A9A7FA0891}" name="Region" dataDxfId="1564"/>
    <tableColumn id="2" xr3:uid="{953940BA-3356-3F4B-92D6-C43C3004D5D1}" name="No or some difficulty" dataDxfId="1563"/>
    <tableColumn id="3" xr3:uid="{EA2C55CA-A909-E149-A2B5-8F7641703179}" name="At least a lot of difficulty" dataDxfId="1562"/>
    <tableColumn id="4" xr3:uid="{E8057BA2-5477-BA46-962D-37ECD3484EA9}" name="Difference" dataDxfId="1561"/>
    <tableColumn id="5" xr3:uid="{B166D362-EC8D-D54C-8DE5-60C3F9B03B50}" name="Statistical Significance of the Difference" dataDxfId="1560"/>
  </tableColumns>
  <tableStyleInfo name="TableStyleMedium2" showFirstColumn="1"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35B8EBC2-1DE1-1441-8B0A-062084D45F1D}" name="Table_E3.6.a_Share_of_adults_age_15_to_44_who_have_completed_primary_school_Percentage_disaggregation_a" displayName="Table_E3.6.a_Share_of_adults_age_15_to_44_who_have_completed_primary_school_Percentage_disaggregation_a" ref="A42:E47" totalsRowShown="0" headerRowDxfId="1559" dataDxfId="1558">
  <autoFilter ref="A42:E47" xr:uid="{35B8EBC2-1DE1-1441-8B0A-062084D45F1D}"/>
  <tableColumns count="5">
    <tableColumn id="1" xr3:uid="{93851866-0BDF-EB4B-AE1C-BD2987BC4D58}" name="Region" dataDxfId="1557"/>
    <tableColumn id="2" xr3:uid="{0EF71F02-CABD-5E4F-9A13-AB8F5C8C5E26}" name="No difficulty" dataDxfId="1556"/>
    <tableColumn id="3" xr3:uid="{FB370909-B49C-D348-BD58-31932ACE40AC}" name="Any difficulty" dataDxfId="1555"/>
    <tableColumn id="4" xr3:uid="{1032EBE5-746A-4E44-AE92-6456DE54602B}" name="Difference" dataDxfId="1554"/>
    <tableColumn id="5" xr3:uid="{A92BEB7D-8BE7-864B-B86F-CC026EABC8DF}" name="Statistical Significance of the Difference" dataDxfId="1553"/>
  </tableColumns>
  <tableStyleInfo name="TableStyleMedium2" showFirstColumn="1"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5DF5B266-1BC0-9249-BFB2-A5355824401E}" name="Table_E3.6.b_Share_of_adults_age_15_to_44_who_have_completed_primary_school_Percentage_disaggregation_b" displayName="Table_E3.6.b_Share_of_adults_age_15_to_44_who_have_completed_primary_school_Percentage_disaggregation_b" ref="G42:N47" totalsRowShown="0" headerRowDxfId="1552" dataDxfId="1551">
  <autoFilter ref="G42:N47" xr:uid="{5DF5B266-1BC0-9249-BFB2-A5355824401E}"/>
  <tableColumns count="8">
    <tableColumn id="1" xr3:uid="{EC9129FF-7438-4147-9A03-C468806B8C01}" name="Region" dataDxfId="1550"/>
    <tableColumn id="2" xr3:uid="{CB39A298-DED0-5648-925C-C247096E0013}" name="No difficulty" dataDxfId="1549"/>
    <tableColumn id="3" xr3:uid="{2338D344-C98F-204A-8292-6A999B0EA1B7}" name="Some difficulty" dataDxfId="1548"/>
    <tableColumn id="4" xr3:uid="{20F6E318-BA39-4947-BCF4-0459E03A5000}" name="Difference" dataDxfId="1547"/>
    <tableColumn id="5" xr3:uid="{39C10ED2-5680-AE43-A7C5-588D2DADC593}" name="Statistical Significance of the Difference" dataDxfId="1546"/>
    <tableColumn id="6" xr3:uid="{EEC68ADD-BC8B-9D4F-AA5C-56E9A85EDB3E}" name="At least a lot of difficulty" dataDxfId="1545"/>
    <tableColumn id="7" xr3:uid="{A5C95133-131B-FE44-A894-F0DBC2F1148C}" name="Difference No difficulty &amp; At least a lot of difficulty" dataDxfId="1544"/>
    <tableColumn id="8" xr3:uid="{33FA9FD7-10C4-A745-8D25-E8400EBEA813}" name="Statistical Significance of the Difference (No difficulty vs At least a lot)" dataDxfId="1543"/>
  </tableColumns>
  <tableStyleInfo name="TableStyleMedium2" showFirstColumn="1"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5D95B8D8-DF61-2242-BB2F-965869276C36}" name="Table_E3.6.c_Share_of_adults_age_15_to_44_who_have_completed_primary_school_Percentage_disaggregation_c" displayName="Table_E3.6.c_Share_of_adults_age_15_to_44_who_have_completed_primary_school_Percentage_disaggregation_c" ref="P42:T47" totalsRowShown="0" headerRowDxfId="1542" dataDxfId="1541">
  <autoFilter ref="P42:T47" xr:uid="{5D95B8D8-DF61-2242-BB2F-965869276C36}"/>
  <tableColumns count="5">
    <tableColumn id="1" xr3:uid="{75002CF5-F6DF-4144-956F-AB35680E48F5}" name="Region" dataDxfId="1540"/>
    <tableColumn id="2" xr3:uid="{A2BEFCD5-3873-1A45-AF15-B3EC144BC5D0}" name="No or some difficulty" dataDxfId="1539"/>
    <tableColumn id="3" xr3:uid="{E9EE70E4-DF6F-E144-8C53-C28372D7A998}" name="At least a lot of difficulty" dataDxfId="1538"/>
    <tableColumn id="4" xr3:uid="{D98D327E-6496-164A-A057-2A210C554EA1}" name="Difference" dataDxfId="1537"/>
    <tableColumn id="5" xr3:uid="{609B7FBB-B564-194F-8929-01AE3A132CEC}" name="Statistical Significance of the Difference" dataDxfId="1536"/>
  </tableColumns>
  <tableStyleInfo name="TableStyleMedium2" showFirstColumn="1"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D6267FBB-2F26-A743-920A-0682975F0EF4}" name="Table_E3.7.a_Share_of_adults_age_45_and_older_who_have_completed_primary_school_Percentage_disaggregation_a" displayName="Table_E3.7.a_Share_of_adults_age_45_and_older_who_have_completed_primary_school_Percentage_disaggregation_a" ref="A50:E55" totalsRowShown="0" headerRowDxfId="1535" dataDxfId="1534">
  <autoFilter ref="A50:E55" xr:uid="{D6267FBB-2F26-A743-920A-0682975F0EF4}"/>
  <tableColumns count="5">
    <tableColumn id="1" xr3:uid="{4DD3089F-C0B1-A046-8E56-3A84DF52C135}" name="Region" dataDxfId="1533"/>
    <tableColumn id="2" xr3:uid="{D5E983F5-A5C9-2F44-9222-C8BB118AAD9E}" name="No difficulty" dataDxfId="1532"/>
    <tableColumn id="3" xr3:uid="{DBA8CA3C-3EB3-3344-AE6F-4B9059C41432}" name="Any difficulty" dataDxfId="1531"/>
    <tableColumn id="4" xr3:uid="{4874C162-5A75-B14D-B1F0-353FFFF02EE5}" name="Difference" dataDxfId="1530"/>
    <tableColumn id="5" xr3:uid="{A0B6BE03-0662-4A4B-BA08-7F908775573C}" name="Statistical Significance of the Difference" dataDxfId="1529"/>
  </tableColumns>
  <tableStyleInfo name="TableStyleMedium2" showFirstColumn="1"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CC5A0021-0D5B-1340-80BA-40446E3CDBF1}" name="Table_E3.7.b_Share_of_adults_age_45_and_older_who_have_completed_primary_school_Percentage_disaggregation_b" displayName="Table_E3.7.b_Share_of_adults_age_45_and_older_who_have_completed_primary_school_Percentage_disaggregation_b" ref="G50:N55" totalsRowShown="0" headerRowDxfId="1528" dataDxfId="1527">
  <autoFilter ref="G50:N55" xr:uid="{CC5A0021-0D5B-1340-80BA-40446E3CDBF1}"/>
  <tableColumns count="8">
    <tableColumn id="1" xr3:uid="{0E1DB6F9-0866-D04A-9679-495EB88114A1}" name="Region" dataDxfId="1526"/>
    <tableColumn id="2" xr3:uid="{FFC593E6-461A-1A46-A1CE-994FCCF0189A}" name="No difficulty" dataDxfId="1525"/>
    <tableColumn id="3" xr3:uid="{D4D14124-95A1-A149-8A44-BADA0BD5F9F0}" name="Some difficulty" dataDxfId="1524"/>
    <tableColumn id="4" xr3:uid="{3B1ED1AE-00FB-C344-A85D-90D668B9F781}" name="Difference" dataDxfId="1523"/>
    <tableColumn id="5" xr3:uid="{71F02A77-2CCB-A844-ADF9-CE739DA3ED36}" name="Statistical Significance of the Difference" dataDxfId="1522"/>
    <tableColumn id="6" xr3:uid="{99ED622C-72ED-2E43-8FFB-643CA88CAEE0}" name="At least a lot of difficulty" dataDxfId="1521"/>
    <tableColumn id="7" xr3:uid="{A8D9A087-1555-FA41-B7DC-55F2A3D61C78}" name="Difference No difficulty &amp; At least a lot of difficulty" dataDxfId="1520"/>
    <tableColumn id="8" xr3:uid="{982D90D4-85E1-F043-8A3F-0A683E508E7A}" name="Statistical Significance of the Difference (No difficulty vs At least a lot)" dataDxfId="1519"/>
  </tableColumns>
  <tableStyleInfo name="TableStyleMedium2" showFirstColumn="1"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C338B5D1-3789-1044-9AA5-D3EF51986272}" name="Table_E3.7.c_Share_of_adults_age_45_and_older_who_have_completed_primary_school_Percentage_disaggregation_c" displayName="Table_E3.7.c_Share_of_adults_age_45_and_older_who_have_completed_primary_school_Percentage_disaggregation_c" ref="P50:T55" totalsRowShown="0" headerRowDxfId="1518" dataDxfId="1517">
  <autoFilter ref="P50:T55" xr:uid="{C338B5D1-3789-1044-9AA5-D3EF51986272}"/>
  <tableColumns count="5">
    <tableColumn id="1" xr3:uid="{0FA308FF-A12A-7745-BE8B-935FFE601F72}" name="Region" dataDxfId="1516"/>
    <tableColumn id="2" xr3:uid="{E977C01C-C827-AE4F-AE7E-B82AD6E6FA3C}" name="No or some difficulty" dataDxfId="1515"/>
    <tableColumn id="3" xr3:uid="{383B2C8E-8230-624B-BF44-1D4B51055E35}" name="At least a lot of difficulty" dataDxfId="1514"/>
    <tableColumn id="4" xr3:uid="{F8CF0A6B-93B6-B943-A62D-5B543D16FF40}" name="Difference" dataDxfId="1513"/>
    <tableColumn id="5" xr3:uid="{604A56AD-CB0F-444C-BD91-3264744AE03E}" name="Statistical Significance of the Difference" dataDxfId="1512"/>
  </tableColumns>
  <tableStyleInfo name="TableStyleMedium2"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193872-D832-1043-BEDB-C316E67533F5}" name="Table_P2.1_Share_of_all_adults_with_any_functional_difficulty_by_type_of_functional_difficulty_Percentage" displayName="Table_P2.1_Share_of_all_adults_with_any_functional_difficulty_by_type_of_functional_difficulty_Percentage" ref="A2:G7" totalsRowShown="0" headerRowDxfId="2180" dataDxfId="2179">
  <autoFilter ref="A2:G7" xr:uid="{9F193872-D832-1043-BEDB-C316E67533F5}"/>
  <tableColumns count="7">
    <tableColumn id="1" xr3:uid="{4E138598-6263-FF49-AE57-08BAE8795680}" name="Region" dataDxfId="2178"/>
    <tableColumn id="2" xr3:uid="{C5A3A7EE-E79A-C244-9323-32D1E57B1424}" name="Seeing" dataDxfId="2177"/>
    <tableColumn id="3" xr3:uid="{223AA463-A752-624B-958B-4A9D198FC3CF}" name="Hearing" dataDxfId="2176"/>
    <tableColumn id="4" xr3:uid="{15FBD814-B83A-3245-9D54-FC8425DDBDA6}" name="Mobility" dataDxfId="2175"/>
    <tableColumn id="5" xr3:uid="{3D206697-163D-6F47-B9DA-18B3DF4A6D90}" name="Cognition" dataDxfId="2174"/>
    <tableColumn id="6" xr3:uid="{875CF0CD-0041-D84C-AE65-C46B18F31F42}" name="Self-Care" dataDxfId="2173"/>
    <tableColumn id="7" xr3:uid="{713CE792-23DF-CA4B-B461-3A3CBAA318DC}" name="Communication" dataDxfId="2172"/>
  </tableColumns>
  <tableStyleInfo name="TableStyleMedium2" showFirstColumn="1"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14365F59-6F46-1940-B2AE-C550C6955387}" name="Table_E4.1.a_Share_of_all_adults_who_have_completed_secondary_school_or_higher_Percentage_disaggregation_a" displayName="Table_E4.1.a_Share_of_all_adults_who_have_completed_secondary_school_or_higher_Percentage_disaggregation_a" ref="A2:E7" totalsRowShown="0" headerRowDxfId="1511" dataDxfId="1510">
  <autoFilter ref="A2:E7" xr:uid="{14365F59-6F46-1940-B2AE-C550C6955387}"/>
  <tableColumns count="5">
    <tableColumn id="1" xr3:uid="{60D47EE9-100C-1946-AD44-1D44382559D8}" name="Region" dataDxfId="1509"/>
    <tableColumn id="2" xr3:uid="{30E4AA1F-46E2-904D-A9D1-29BDAAD07764}" name="No difficulty" dataDxfId="1508"/>
    <tableColumn id="3" xr3:uid="{4B719544-6023-454E-BE25-74B4B49BA5D2}" name="Any difficulty" dataDxfId="1507"/>
    <tableColumn id="4" xr3:uid="{F17483AD-1756-CA48-A52F-49B662AEC062}" name="Difference" dataDxfId="1506"/>
    <tableColumn id="5" xr3:uid="{0F5B9B93-09CA-E049-9019-C99642A25EDB}" name="Statistical Significance of the Difference" dataDxfId="1505"/>
  </tableColumns>
  <tableStyleInfo name="TableStyleMedium2" showFirstColumn="1"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CEAA5980-873A-6042-BE61-F5D8EE5B6D13}" name="Table_E4.1.b_Share_of_all_adults_who_have_completed_secondary_school_or_higher_Percentage_disaggregation_b" displayName="Table_E4.1.b_Share_of_all_adults_who_have_completed_secondary_school_or_higher_Percentage_disaggregation_b" ref="G2:N7" totalsRowShown="0" headerRowDxfId="1504" dataDxfId="1503">
  <autoFilter ref="G2:N7" xr:uid="{CEAA5980-873A-6042-BE61-F5D8EE5B6D13}"/>
  <tableColumns count="8">
    <tableColumn id="1" xr3:uid="{EB118274-8418-D941-9221-1544E57ED8CB}" name="Region" dataDxfId="1502"/>
    <tableColumn id="2" xr3:uid="{2E8437B0-A194-4A42-BFEA-FA4C068CFC64}" name="No difficulty" dataDxfId="1501"/>
    <tableColumn id="3" xr3:uid="{636D3F48-7357-5F42-9FBB-7F8A00B19F2F}" name="Some difficulty" dataDxfId="1500"/>
    <tableColumn id="4" xr3:uid="{1DAB92A5-8F3B-494C-BE3D-1F07943B451D}" name="Difference" dataDxfId="1499"/>
    <tableColumn id="5" xr3:uid="{AE2FF7A4-AA5A-9F4D-A88C-1E9C04EBA1C5}" name="Statistical Significance of the Difference" dataDxfId="1498"/>
    <tableColumn id="6" xr3:uid="{719BE92B-E720-6645-904F-F8A3214C95EF}" name="At least a lot of difficulty" dataDxfId="1497"/>
    <tableColumn id="7" xr3:uid="{3BAB46BB-C387-2949-BDAD-CA8AC5ABE548}" name="Difference No difficulty &amp; At least a lot of difficulty" dataDxfId="1496"/>
    <tableColumn id="8" xr3:uid="{B691D99A-6004-9145-8138-D3C900D5EF8A}" name="Statistical Significance of the Difference (No difficulty vs At least a lot)" dataDxfId="1495"/>
  </tableColumns>
  <tableStyleInfo name="TableStyleMedium2" showFirstColumn="1"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831B2516-484C-DF4C-9720-B876107A1232}" name="Table_E4.1.c_Share_of_all_adults_who_have_completed_secondary_school_or_higher_Percentage_disaggregation_c" displayName="Table_E4.1.c_Share_of_all_adults_who_have_completed_secondary_school_or_higher_Percentage_disaggregation_c" ref="P2:T7" totalsRowShown="0" headerRowDxfId="1494" dataDxfId="1493">
  <autoFilter ref="P2:T7" xr:uid="{831B2516-484C-DF4C-9720-B876107A1232}"/>
  <tableColumns count="5">
    <tableColumn id="1" xr3:uid="{7A9D180B-2F98-294D-A5DC-2FD193EE6A65}" name="Region" dataDxfId="1492"/>
    <tableColumn id="2" xr3:uid="{567FAE43-AD16-D641-A714-2142F0DE9526}" name="No or some difficulty" dataDxfId="1491"/>
    <tableColumn id="3" xr3:uid="{39D75887-2426-C543-A63E-D2F048856B24}" name="At least a lot of difficulty" dataDxfId="1490"/>
    <tableColumn id="4" xr3:uid="{17EFA046-BF46-8145-B459-3C0F89CD2E50}" name="Difference" dataDxfId="1489"/>
    <tableColumn id="5" xr3:uid="{6B61B48D-2D43-344A-A232-A947C8651E6B}" name="Statistical Significance of the Difference" dataDxfId="1488"/>
  </tableColumns>
  <tableStyleInfo name="TableStyleMedium2" showFirstColumn="1"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C6645747-F4A0-2746-841C-806CD380180B}" name="Table_E4.2.a_Share_of_females_who_have_completed_secondary_school_or_higher_Percentage_disaggregation_a" displayName="Table_E4.2.a_Share_of_females_who_have_completed_secondary_school_or_higher_Percentage_disaggregation_a" ref="A10:E15" totalsRowShown="0" headerRowDxfId="1487" dataDxfId="1486">
  <autoFilter ref="A10:E15" xr:uid="{C6645747-F4A0-2746-841C-806CD380180B}"/>
  <tableColumns count="5">
    <tableColumn id="1" xr3:uid="{8C8B54D9-CAD4-E746-96B2-FA46F8E660A3}" name="Region" dataDxfId="1485"/>
    <tableColumn id="2" xr3:uid="{4C74E288-AF8F-9A4C-BCD7-8258293F95DD}" name="No difficulty" dataDxfId="1484"/>
    <tableColumn id="3" xr3:uid="{A6B2DC60-9761-7648-93FC-04729ECF1A93}" name="Any difficulty" dataDxfId="1483"/>
    <tableColumn id="4" xr3:uid="{716E6710-9DC9-F34B-889F-6AAA081F6258}" name="Difference" dataDxfId="1482"/>
    <tableColumn id="5" xr3:uid="{C7FE81AF-1998-FF42-B231-7440F26FB54F}" name="Statistical Significance of the Difference" dataDxfId="1481"/>
  </tableColumns>
  <tableStyleInfo name="TableStyleMedium2" showFirstColumn="1"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BB6379EC-0604-9840-8172-F1A9D5467D9D}" name="Table_E4.2.b_Share_of_females_who_have_completed_secondary_school_or_higher_Percentage_disaggregation_b" displayName="Table_E4.2.b_Share_of_females_who_have_completed_secondary_school_or_higher_Percentage_disaggregation_b" ref="G10:N15" totalsRowShown="0" headerRowDxfId="1480" dataDxfId="1479">
  <autoFilter ref="G10:N15" xr:uid="{BB6379EC-0604-9840-8172-F1A9D5467D9D}"/>
  <tableColumns count="8">
    <tableColumn id="1" xr3:uid="{2DE906E2-D3C6-2B42-B5D3-3A8F0C445D78}" name="Region" dataDxfId="1478"/>
    <tableColumn id="2" xr3:uid="{1F47004C-5E76-CF48-9371-D80E23170765}" name="No difficulty" dataDxfId="1477"/>
    <tableColumn id="3" xr3:uid="{9E1EDA2F-1EE2-BE40-9D19-49AD24E816B1}" name="Some difficulty" dataDxfId="1476"/>
    <tableColumn id="4" xr3:uid="{69B37BF5-DF2D-3F4C-AB56-02336502AADF}" name="Difference" dataDxfId="1475"/>
    <tableColumn id="5" xr3:uid="{9E6DF5BB-735F-6D42-830B-97E1D10DBF03}" name="Statistical Significance of the Difference" dataDxfId="1474"/>
    <tableColumn id="6" xr3:uid="{52B3C323-0019-5248-A6FD-72F1ADF81684}" name="At least a lot of difficulty" dataDxfId="1473"/>
    <tableColumn id="7" xr3:uid="{E44C6C2E-1D41-4949-ABA6-B1B382594DA4}" name="Difference No difficulty &amp; At least a lot of difficulty" dataDxfId="1472"/>
    <tableColumn id="8" xr3:uid="{BBC52A0D-53EE-3844-9489-C782B24C8FB5}" name="Statistical Significance of the Difference (No difficulty vs At least a lot)" dataDxfId="1471"/>
  </tableColumns>
  <tableStyleInfo name="TableStyleMedium2" showFirstColumn="1"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7724FA7B-8089-8641-8658-217FC0D7E3B1}" name="Table_E4.2.c_Share_of_females_who_have_completed_secondary_school_or_higher_Percentage_disaggregation_c" displayName="Table_E4.2.c_Share_of_females_who_have_completed_secondary_school_or_higher_Percentage_disaggregation_c" ref="P10:T15" totalsRowShown="0" headerRowDxfId="1470" dataDxfId="1469">
  <autoFilter ref="P10:T15" xr:uid="{7724FA7B-8089-8641-8658-217FC0D7E3B1}"/>
  <tableColumns count="5">
    <tableColumn id="1" xr3:uid="{F848A413-39AA-644B-8027-175556EEF5BD}" name="Region" dataDxfId="1468"/>
    <tableColumn id="2" xr3:uid="{D246A0FE-2253-1C48-86F3-89DDBC91F9CC}" name="No or some difficulty" dataDxfId="1467"/>
    <tableColumn id="3" xr3:uid="{9E9B4F7C-20B7-D84B-BA0E-B046D4F58974}" name="At least a lot of difficulty" dataDxfId="1466"/>
    <tableColumn id="4" xr3:uid="{AFB0C4B8-98E2-C14E-B566-18F519C7C4E1}" name="Difference" dataDxfId="1465"/>
    <tableColumn id="5" xr3:uid="{421C931B-9112-E141-B5F4-23086CF1CE83}" name="Statistical Significance of the Difference" dataDxfId="1464"/>
  </tableColumns>
  <tableStyleInfo name="TableStyleMedium2" showFirstColumn="1"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8D2E9962-FE6E-3640-B2B5-D06E7579B865}" name="Table_E4.3.a_Share_of_males_who_have_completed_secondary_school_or_higher_Percentage_disaggregation_a" displayName="Table_E4.3.a_Share_of_males_who_have_completed_secondary_school_or_higher_Percentage_disaggregation_a" ref="A18:E23" totalsRowShown="0" headerRowDxfId="1463" dataDxfId="1462">
  <autoFilter ref="A18:E23" xr:uid="{8D2E9962-FE6E-3640-B2B5-D06E7579B865}"/>
  <tableColumns count="5">
    <tableColumn id="1" xr3:uid="{D29CE7AF-1813-6944-9525-E7CD1ED7734C}" name="Region" dataDxfId="1461"/>
    <tableColumn id="2" xr3:uid="{BF6E59C9-4988-5044-880E-726A0E19A50D}" name="No difficulty" dataDxfId="1460"/>
    <tableColumn id="3" xr3:uid="{51342AD2-E564-7D40-B6CB-D44A107613C9}" name="Any difficulty" dataDxfId="1459"/>
    <tableColumn id="4" xr3:uid="{ECE4164E-1604-F843-A4E9-E81992473271}" name="Difference" dataDxfId="1458"/>
    <tableColumn id="5" xr3:uid="{5C2939F3-6EA1-824C-8208-66C96A02FBA8}" name="Statistical Significance of the Difference" dataDxfId="1457"/>
  </tableColumns>
  <tableStyleInfo name="TableStyleMedium2" showFirstColumn="1"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D9861691-520B-E44C-AF15-397E44397E1E}" name="Table_E4.3.b_Share_of_males_who_have_completed_secondary_school_or_higher_Percentage_disaggregation_b" displayName="Table_E4.3.b_Share_of_males_who_have_completed_secondary_school_or_higher_Percentage_disaggregation_b" ref="G18:N23" totalsRowShown="0" headerRowDxfId="1456" dataDxfId="1455">
  <autoFilter ref="G18:N23" xr:uid="{D9861691-520B-E44C-AF15-397E44397E1E}"/>
  <tableColumns count="8">
    <tableColumn id="1" xr3:uid="{AEB6605F-C989-184A-9B46-4776A771A2FF}" name="Region" dataDxfId="1454"/>
    <tableColumn id="2" xr3:uid="{4448A8E8-9014-104D-A7EF-1D78B5D25D0E}" name="No difficulty" dataDxfId="1453"/>
    <tableColumn id="3" xr3:uid="{32EE3C5B-B26A-974A-BDD4-237F51040772}" name="Some difficulty" dataDxfId="1452"/>
    <tableColumn id="4" xr3:uid="{0287F52B-E102-2D49-AFD2-3B59CEFF843A}" name="Difference" dataDxfId="1451"/>
    <tableColumn id="5" xr3:uid="{654D7017-6E38-FA44-8D84-1986AA6D7FE4}" name="Statistical Significance of the Difference" dataDxfId="1450"/>
    <tableColumn id="6" xr3:uid="{76FD9C14-E99F-A34D-AC83-554730A8417A}" name="At least a lot of difficulty" dataDxfId="1449"/>
    <tableColumn id="7" xr3:uid="{2C672AD2-AD37-8144-9B47-915F1CEBF144}" name="Difference No difficulty &amp; At least a lot of difficulty" dataDxfId="1448"/>
    <tableColumn id="8" xr3:uid="{6FE53AA9-FA5B-9D4F-99CE-5F276AFEB9E4}" name="Statistical Significance of the Difference (No difficulty vs At least a lot)" dataDxfId="1447"/>
  </tableColumns>
  <tableStyleInfo name="TableStyleMedium2" showFirstColumn="1"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E6B63466-521E-9340-959E-2687FA32EA2D}" name="Table_E4.3.c_Share_of_males_who_have_completed_secondary_school_or_higher_Percentage_disaggregation_c" displayName="Table_E4.3.c_Share_of_males_who_have_completed_secondary_school_or_higher_Percentage_disaggregation_c" ref="P18:T23" totalsRowShown="0" headerRowDxfId="1446" dataDxfId="1445">
  <autoFilter ref="P18:T23" xr:uid="{E6B63466-521E-9340-959E-2687FA32EA2D}"/>
  <tableColumns count="5">
    <tableColumn id="1" xr3:uid="{2B17B551-D1BB-3B47-9120-C1EE001B65A9}" name="Region" dataDxfId="1444"/>
    <tableColumn id="2" xr3:uid="{4D375F3C-98CE-AD42-B03F-9E46C2A0D7C8}" name="No or some difficulty" dataDxfId="1443"/>
    <tableColumn id="3" xr3:uid="{CCCDF783-F925-E54C-8EBB-0F8D863E8060}" name="At least a lot of difficulty" dataDxfId="1442"/>
    <tableColumn id="4" xr3:uid="{9860BDEA-BD0D-8D4B-BE72-260A920D3336}" name="Difference" dataDxfId="1441"/>
    <tableColumn id="5" xr3:uid="{BBA265C6-9FAB-474D-9932-311C74541890}" name="Statistical Significance of the Difference" dataDxfId="1440"/>
  </tableColumns>
  <tableStyleInfo name="TableStyleMedium2" showFirstColumn="1"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319CCD9E-B283-A040-A056-01B6882B7AE5}" name="Table_E4.4.a_Share_of_rural_residents_who_have_completed_secondary_school_or_higher_Percentage_disaggregation_a" displayName="Table_E4.4.a_Share_of_rural_residents_who_have_completed_secondary_school_or_higher_Percentage_disaggregation_a" ref="A26:E31" totalsRowShown="0" headerRowDxfId="1439" dataDxfId="1438">
  <autoFilter ref="A26:E31" xr:uid="{319CCD9E-B283-A040-A056-01B6882B7AE5}"/>
  <tableColumns count="5">
    <tableColumn id="1" xr3:uid="{12F7332D-447C-EE41-872D-E3D6CE7FB615}" name="Region" dataDxfId="1437"/>
    <tableColumn id="2" xr3:uid="{F7062B1D-5867-C44A-8D80-456389584CCF}" name="No difficulty" dataDxfId="1436"/>
    <tableColumn id="3" xr3:uid="{40FFC46A-E0AB-6D4D-A16E-84E894EE8316}" name="Any difficulty" dataDxfId="1435"/>
    <tableColumn id="4" xr3:uid="{D2D7A067-917F-D547-9759-8BB5E09CD9F4}" name="Difference" dataDxfId="1434"/>
    <tableColumn id="5" xr3:uid="{293F01EE-D4B5-014A-BC2C-C71C43C91F7F}" name="Statistical Significance of the Difference" dataDxfId="1433"/>
  </tableColumns>
  <tableStyleInfo name="TableStyleMedium2" showFirstColumn="1"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118.xml"/><Relationship Id="rId13" Type="http://schemas.openxmlformats.org/officeDocument/2006/relationships/table" Target="../tables/table123.xml"/><Relationship Id="rId18" Type="http://schemas.openxmlformats.org/officeDocument/2006/relationships/table" Target="../tables/table128.xml"/><Relationship Id="rId3" Type="http://schemas.openxmlformats.org/officeDocument/2006/relationships/table" Target="../tables/table113.xml"/><Relationship Id="rId21" Type="http://schemas.openxmlformats.org/officeDocument/2006/relationships/table" Target="../tables/table131.xml"/><Relationship Id="rId7" Type="http://schemas.openxmlformats.org/officeDocument/2006/relationships/table" Target="../tables/table117.xml"/><Relationship Id="rId12" Type="http://schemas.openxmlformats.org/officeDocument/2006/relationships/table" Target="../tables/table122.xml"/><Relationship Id="rId17" Type="http://schemas.openxmlformats.org/officeDocument/2006/relationships/table" Target="../tables/table127.xml"/><Relationship Id="rId2" Type="http://schemas.openxmlformats.org/officeDocument/2006/relationships/table" Target="../tables/table112.xml"/><Relationship Id="rId16" Type="http://schemas.openxmlformats.org/officeDocument/2006/relationships/table" Target="../tables/table126.xml"/><Relationship Id="rId20" Type="http://schemas.openxmlformats.org/officeDocument/2006/relationships/table" Target="../tables/table130.xml"/><Relationship Id="rId1" Type="http://schemas.openxmlformats.org/officeDocument/2006/relationships/table" Target="../tables/table111.xml"/><Relationship Id="rId6" Type="http://schemas.openxmlformats.org/officeDocument/2006/relationships/table" Target="../tables/table116.xml"/><Relationship Id="rId11" Type="http://schemas.openxmlformats.org/officeDocument/2006/relationships/table" Target="../tables/table121.xml"/><Relationship Id="rId5" Type="http://schemas.openxmlformats.org/officeDocument/2006/relationships/table" Target="../tables/table115.xml"/><Relationship Id="rId15" Type="http://schemas.openxmlformats.org/officeDocument/2006/relationships/table" Target="../tables/table125.xml"/><Relationship Id="rId10" Type="http://schemas.openxmlformats.org/officeDocument/2006/relationships/table" Target="../tables/table120.xml"/><Relationship Id="rId19" Type="http://schemas.openxmlformats.org/officeDocument/2006/relationships/table" Target="../tables/table129.xml"/><Relationship Id="rId4" Type="http://schemas.openxmlformats.org/officeDocument/2006/relationships/table" Target="../tables/table114.xml"/><Relationship Id="rId9" Type="http://schemas.openxmlformats.org/officeDocument/2006/relationships/table" Target="../tables/table119.xml"/><Relationship Id="rId14" Type="http://schemas.openxmlformats.org/officeDocument/2006/relationships/table" Target="../tables/table124.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139.xml"/><Relationship Id="rId13" Type="http://schemas.openxmlformats.org/officeDocument/2006/relationships/table" Target="../tables/table144.xml"/><Relationship Id="rId18" Type="http://schemas.openxmlformats.org/officeDocument/2006/relationships/table" Target="../tables/table149.xml"/><Relationship Id="rId3" Type="http://schemas.openxmlformats.org/officeDocument/2006/relationships/table" Target="../tables/table134.xml"/><Relationship Id="rId21" Type="http://schemas.openxmlformats.org/officeDocument/2006/relationships/table" Target="../tables/table152.xml"/><Relationship Id="rId7" Type="http://schemas.openxmlformats.org/officeDocument/2006/relationships/table" Target="../tables/table138.xml"/><Relationship Id="rId12" Type="http://schemas.openxmlformats.org/officeDocument/2006/relationships/table" Target="../tables/table143.xml"/><Relationship Id="rId17" Type="http://schemas.openxmlformats.org/officeDocument/2006/relationships/table" Target="../tables/table148.xml"/><Relationship Id="rId2" Type="http://schemas.openxmlformats.org/officeDocument/2006/relationships/table" Target="../tables/table133.xml"/><Relationship Id="rId16" Type="http://schemas.openxmlformats.org/officeDocument/2006/relationships/table" Target="../tables/table147.xml"/><Relationship Id="rId20" Type="http://schemas.openxmlformats.org/officeDocument/2006/relationships/table" Target="../tables/table151.xml"/><Relationship Id="rId1" Type="http://schemas.openxmlformats.org/officeDocument/2006/relationships/table" Target="../tables/table132.xml"/><Relationship Id="rId6" Type="http://schemas.openxmlformats.org/officeDocument/2006/relationships/table" Target="../tables/table137.xml"/><Relationship Id="rId11" Type="http://schemas.openxmlformats.org/officeDocument/2006/relationships/table" Target="../tables/table142.xml"/><Relationship Id="rId5" Type="http://schemas.openxmlformats.org/officeDocument/2006/relationships/table" Target="../tables/table136.xml"/><Relationship Id="rId15" Type="http://schemas.openxmlformats.org/officeDocument/2006/relationships/table" Target="../tables/table146.xml"/><Relationship Id="rId10" Type="http://schemas.openxmlformats.org/officeDocument/2006/relationships/table" Target="../tables/table141.xml"/><Relationship Id="rId19" Type="http://schemas.openxmlformats.org/officeDocument/2006/relationships/table" Target="../tables/table150.xml"/><Relationship Id="rId4" Type="http://schemas.openxmlformats.org/officeDocument/2006/relationships/table" Target="../tables/table135.xml"/><Relationship Id="rId9" Type="http://schemas.openxmlformats.org/officeDocument/2006/relationships/table" Target="../tables/table140.xml"/><Relationship Id="rId14" Type="http://schemas.openxmlformats.org/officeDocument/2006/relationships/table" Target="../tables/table145.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60.xml"/><Relationship Id="rId13" Type="http://schemas.openxmlformats.org/officeDocument/2006/relationships/table" Target="../tables/table165.xml"/><Relationship Id="rId18" Type="http://schemas.openxmlformats.org/officeDocument/2006/relationships/table" Target="../tables/table170.xml"/><Relationship Id="rId3" Type="http://schemas.openxmlformats.org/officeDocument/2006/relationships/table" Target="../tables/table155.xml"/><Relationship Id="rId21" Type="http://schemas.openxmlformats.org/officeDocument/2006/relationships/table" Target="../tables/table173.xml"/><Relationship Id="rId7" Type="http://schemas.openxmlformats.org/officeDocument/2006/relationships/table" Target="../tables/table159.xml"/><Relationship Id="rId12" Type="http://schemas.openxmlformats.org/officeDocument/2006/relationships/table" Target="../tables/table164.xml"/><Relationship Id="rId17" Type="http://schemas.openxmlformats.org/officeDocument/2006/relationships/table" Target="../tables/table169.xml"/><Relationship Id="rId2" Type="http://schemas.openxmlformats.org/officeDocument/2006/relationships/table" Target="../tables/table154.xml"/><Relationship Id="rId16" Type="http://schemas.openxmlformats.org/officeDocument/2006/relationships/table" Target="../tables/table168.xml"/><Relationship Id="rId20" Type="http://schemas.openxmlformats.org/officeDocument/2006/relationships/table" Target="../tables/table172.xml"/><Relationship Id="rId1" Type="http://schemas.openxmlformats.org/officeDocument/2006/relationships/table" Target="../tables/table153.xml"/><Relationship Id="rId6" Type="http://schemas.openxmlformats.org/officeDocument/2006/relationships/table" Target="../tables/table158.xml"/><Relationship Id="rId11" Type="http://schemas.openxmlformats.org/officeDocument/2006/relationships/table" Target="../tables/table163.xml"/><Relationship Id="rId5" Type="http://schemas.openxmlformats.org/officeDocument/2006/relationships/table" Target="../tables/table157.xml"/><Relationship Id="rId15" Type="http://schemas.openxmlformats.org/officeDocument/2006/relationships/table" Target="../tables/table167.xml"/><Relationship Id="rId10" Type="http://schemas.openxmlformats.org/officeDocument/2006/relationships/table" Target="../tables/table162.xml"/><Relationship Id="rId19" Type="http://schemas.openxmlformats.org/officeDocument/2006/relationships/table" Target="../tables/table171.xml"/><Relationship Id="rId4" Type="http://schemas.openxmlformats.org/officeDocument/2006/relationships/table" Target="../tables/table156.xml"/><Relationship Id="rId9" Type="http://schemas.openxmlformats.org/officeDocument/2006/relationships/table" Target="../tables/table161.xml"/><Relationship Id="rId14" Type="http://schemas.openxmlformats.org/officeDocument/2006/relationships/table" Target="../tables/table166.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181.xml"/><Relationship Id="rId13" Type="http://schemas.openxmlformats.org/officeDocument/2006/relationships/table" Target="../tables/table186.xml"/><Relationship Id="rId18" Type="http://schemas.openxmlformats.org/officeDocument/2006/relationships/table" Target="../tables/table191.xml"/><Relationship Id="rId3" Type="http://schemas.openxmlformats.org/officeDocument/2006/relationships/table" Target="../tables/table176.xml"/><Relationship Id="rId21" Type="http://schemas.openxmlformats.org/officeDocument/2006/relationships/table" Target="../tables/table194.xml"/><Relationship Id="rId7" Type="http://schemas.openxmlformats.org/officeDocument/2006/relationships/table" Target="../tables/table180.xml"/><Relationship Id="rId12" Type="http://schemas.openxmlformats.org/officeDocument/2006/relationships/table" Target="../tables/table185.xml"/><Relationship Id="rId17" Type="http://schemas.openxmlformats.org/officeDocument/2006/relationships/table" Target="../tables/table190.xml"/><Relationship Id="rId2" Type="http://schemas.openxmlformats.org/officeDocument/2006/relationships/table" Target="../tables/table175.xml"/><Relationship Id="rId16" Type="http://schemas.openxmlformats.org/officeDocument/2006/relationships/table" Target="../tables/table189.xml"/><Relationship Id="rId20" Type="http://schemas.openxmlformats.org/officeDocument/2006/relationships/table" Target="../tables/table193.xml"/><Relationship Id="rId1" Type="http://schemas.openxmlformats.org/officeDocument/2006/relationships/table" Target="../tables/table174.xml"/><Relationship Id="rId6" Type="http://schemas.openxmlformats.org/officeDocument/2006/relationships/table" Target="../tables/table179.xml"/><Relationship Id="rId11" Type="http://schemas.openxmlformats.org/officeDocument/2006/relationships/table" Target="../tables/table184.xml"/><Relationship Id="rId5" Type="http://schemas.openxmlformats.org/officeDocument/2006/relationships/table" Target="../tables/table178.xml"/><Relationship Id="rId15" Type="http://schemas.openxmlformats.org/officeDocument/2006/relationships/table" Target="../tables/table188.xml"/><Relationship Id="rId10" Type="http://schemas.openxmlformats.org/officeDocument/2006/relationships/table" Target="../tables/table183.xml"/><Relationship Id="rId19" Type="http://schemas.openxmlformats.org/officeDocument/2006/relationships/table" Target="../tables/table192.xml"/><Relationship Id="rId4" Type="http://schemas.openxmlformats.org/officeDocument/2006/relationships/table" Target="../tables/table177.xml"/><Relationship Id="rId9" Type="http://schemas.openxmlformats.org/officeDocument/2006/relationships/table" Target="../tables/table182.xml"/><Relationship Id="rId14" Type="http://schemas.openxmlformats.org/officeDocument/2006/relationships/table" Target="../tables/table187.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202.xml"/><Relationship Id="rId13" Type="http://schemas.openxmlformats.org/officeDocument/2006/relationships/table" Target="../tables/table207.xml"/><Relationship Id="rId18" Type="http://schemas.openxmlformats.org/officeDocument/2006/relationships/table" Target="../tables/table212.xml"/><Relationship Id="rId3" Type="http://schemas.openxmlformats.org/officeDocument/2006/relationships/table" Target="../tables/table197.xml"/><Relationship Id="rId21" Type="http://schemas.openxmlformats.org/officeDocument/2006/relationships/table" Target="../tables/table215.xml"/><Relationship Id="rId7" Type="http://schemas.openxmlformats.org/officeDocument/2006/relationships/table" Target="../tables/table201.xml"/><Relationship Id="rId12" Type="http://schemas.openxmlformats.org/officeDocument/2006/relationships/table" Target="../tables/table206.xml"/><Relationship Id="rId17" Type="http://schemas.openxmlformats.org/officeDocument/2006/relationships/table" Target="../tables/table211.xml"/><Relationship Id="rId2" Type="http://schemas.openxmlformats.org/officeDocument/2006/relationships/table" Target="../tables/table196.xml"/><Relationship Id="rId16" Type="http://schemas.openxmlformats.org/officeDocument/2006/relationships/table" Target="../tables/table210.xml"/><Relationship Id="rId20" Type="http://schemas.openxmlformats.org/officeDocument/2006/relationships/table" Target="../tables/table214.xml"/><Relationship Id="rId1" Type="http://schemas.openxmlformats.org/officeDocument/2006/relationships/table" Target="../tables/table195.xml"/><Relationship Id="rId6" Type="http://schemas.openxmlformats.org/officeDocument/2006/relationships/table" Target="../tables/table200.xml"/><Relationship Id="rId11" Type="http://schemas.openxmlformats.org/officeDocument/2006/relationships/table" Target="../tables/table205.xml"/><Relationship Id="rId5" Type="http://schemas.openxmlformats.org/officeDocument/2006/relationships/table" Target="../tables/table199.xml"/><Relationship Id="rId15" Type="http://schemas.openxmlformats.org/officeDocument/2006/relationships/table" Target="../tables/table209.xml"/><Relationship Id="rId10" Type="http://schemas.openxmlformats.org/officeDocument/2006/relationships/table" Target="../tables/table204.xml"/><Relationship Id="rId19" Type="http://schemas.openxmlformats.org/officeDocument/2006/relationships/table" Target="../tables/table213.xml"/><Relationship Id="rId4" Type="http://schemas.openxmlformats.org/officeDocument/2006/relationships/table" Target="../tables/table198.xml"/><Relationship Id="rId9" Type="http://schemas.openxmlformats.org/officeDocument/2006/relationships/table" Target="../tables/table203.xml"/><Relationship Id="rId14" Type="http://schemas.openxmlformats.org/officeDocument/2006/relationships/table" Target="../tables/table208.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223.xml"/><Relationship Id="rId13" Type="http://schemas.openxmlformats.org/officeDocument/2006/relationships/table" Target="../tables/table228.xml"/><Relationship Id="rId18" Type="http://schemas.openxmlformats.org/officeDocument/2006/relationships/table" Target="../tables/table233.xml"/><Relationship Id="rId3" Type="http://schemas.openxmlformats.org/officeDocument/2006/relationships/table" Target="../tables/table218.xml"/><Relationship Id="rId21" Type="http://schemas.openxmlformats.org/officeDocument/2006/relationships/table" Target="../tables/table236.xml"/><Relationship Id="rId7" Type="http://schemas.openxmlformats.org/officeDocument/2006/relationships/table" Target="../tables/table222.xml"/><Relationship Id="rId12" Type="http://schemas.openxmlformats.org/officeDocument/2006/relationships/table" Target="../tables/table227.xml"/><Relationship Id="rId17" Type="http://schemas.openxmlformats.org/officeDocument/2006/relationships/table" Target="../tables/table232.xml"/><Relationship Id="rId2" Type="http://schemas.openxmlformats.org/officeDocument/2006/relationships/table" Target="../tables/table217.xml"/><Relationship Id="rId16" Type="http://schemas.openxmlformats.org/officeDocument/2006/relationships/table" Target="../tables/table231.xml"/><Relationship Id="rId20" Type="http://schemas.openxmlformats.org/officeDocument/2006/relationships/table" Target="../tables/table235.xml"/><Relationship Id="rId1" Type="http://schemas.openxmlformats.org/officeDocument/2006/relationships/table" Target="../tables/table216.xml"/><Relationship Id="rId6" Type="http://schemas.openxmlformats.org/officeDocument/2006/relationships/table" Target="../tables/table221.xml"/><Relationship Id="rId11" Type="http://schemas.openxmlformats.org/officeDocument/2006/relationships/table" Target="../tables/table226.xml"/><Relationship Id="rId5" Type="http://schemas.openxmlformats.org/officeDocument/2006/relationships/table" Target="../tables/table220.xml"/><Relationship Id="rId15" Type="http://schemas.openxmlformats.org/officeDocument/2006/relationships/table" Target="../tables/table230.xml"/><Relationship Id="rId10" Type="http://schemas.openxmlformats.org/officeDocument/2006/relationships/table" Target="../tables/table225.xml"/><Relationship Id="rId19" Type="http://schemas.openxmlformats.org/officeDocument/2006/relationships/table" Target="../tables/table234.xml"/><Relationship Id="rId4" Type="http://schemas.openxmlformats.org/officeDocument/2006/relationships/table" Target="../tables/table219.xml"/><Relationship Id="rId9" Type="http://schemas.openxmlformats.org/officeDocument/2006/relationships/table" Target="../tables/table224.xml"/><Relationship Id="rId14" Type="http://schemas.openxmlformats.org/officeDocument/2006/relationships/table" Target="../tables/table229.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244.xml"/><Relationship Id="rId13" Type="http://schemas.openxmlformats.org/officeDocument/2006/relationships/table" Target="../tables/table249.xml"/><Relationship Id="rId18" Type="http://schemas.openxmlformats.org/officeDocument/2006/relationships/table" Target="../tables/table254.xml"/><Relationship Id="rId3" Type="http://schemas.openxmlformats.org/officeDocument/2006/relationships/table" Target="../tables/table239.xml"/><Relationship Id="rId21" Type="http://schemas.openxmlformats.org/officeDocument/2006/relationships/table" Target="../tables/table257.xml"/><Relationship Id="rId7" Type="http://schemas.openxmlformats.org/officeDocument/2006/relationships/table" Target="../tables/table243.xml"/><Relationship Id="rId12" Type="http://schemas.openxmlformats.org/officeDocument/2006/relationships/table" Target="../tables/table248.xml"/><Relationship Id="rId17" Type="http://schemas.openxmlformats.org/officeDocument/2006/relationships/table" Target="../tables/table253.xml"/><Relationship Id="rId2" Type="http://schemas.openxmlformats.org/officeDocument/2006/relationships/table" Target="../tables/table238.xml"/><Relationship Id="rId16" Type="http://schemas.openxmlformats.org/officeDocument/2006/relationships/table" Target="../tables/table252.xml"/><Relationship Id="rId20" Type="http://schemas.openxmlformats.org/officeDocument/2006/relationships/table" Target="../tables/table256.xml"/><Relationship Id="rId1" Type="http://schemas.openxmlformats.org/officeDocument/2006/relationships/table" Target="../tables/table237.xml"/><Relationship Id="rId6" Type="http://schemas.openxmlformats.org/officeDocument/2006/relationships/table" Target="../tables/table242.xml"/><Relationship Id="rId11" Type="http://schemas.openxmlformats.org/officeDocument/2006/relationships/table" Target="../tables/table247.xml"/><Relationship Id="rId5" Type="http://schemas.openxmlformats.org/officeDocument/2006/relationships/table" Target="../tables/table241.xml"/><Relationship Id="rId15" Type="http://schemas.openxmlformats.org/officeDocument/2006/relationships/table" Target="../tables/table251.xml"/><Relationship Id="rId10" Type="http://schemas.openxmlformats.org/officeDocument/2006/relationships/table" Target="../tables/table246.xml"/><Relationship Id="rId19" Type="http://schemas.openxmlformats.org/officeDocument/2006/relationships/table" Target="../tables/table255.xml"/><Relationship Id="rId4" Type="http://schemas.openxmlformats.org/officeDocument/2006/relationships/table" Target="../tables/table240.xml"/><Relationship Id="rId9" Type="http://schemas.openxmlformats.org/officeDocument/2006/relationships/table" Target="../tables/table245.xml"/><Relationship Id="rId14" Type="http://schemas.openxmlformats.org/officeDocument/2006/relationships/table" Target="../tables/table250.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265.xml"/><Relationship Id="rId13" Type="http://schemas.openxmlformats.org/officeDocument/2006/relationships/table" Target="../tables/table270.xml"/><Relationship Id="rId18" Type="http://schemas.openxmlformats.org/officeDocument/2006/relationships/table" Target="../tables/table275.xml"/><Relationship Id="rId3" Type="http://schemas.openxmlformats.org/officeDocument/2006/relationships/table" Target="../tables/table260.xml"/><Relationship Id="rId21" Type="http://schemas.openxmlformats.org/officeDocument/2006/relationships/table" Target="../tables/table278.xml"/><Relationship Id="rId7" Type="http://schemas.openxmlformats.org/officeDocument/2006/relationships/table" Target="../tables/table264.xml"/><Relationship Id="rId12" Type="http://schemas.openxmlformats.org/officeDocument/2006/relationships/table" Target="../tables/table269.xml"/><Relationship Id="rId17" Type="http://schemas.openxmlformats.org/officeDocument/2006/relationships/table" Target="../tables/table274.xml"/><Relationship Id="rId2" Type="http://schemas.openxmlformats.org/officeDocument/2006/relationships/table" Target="../tables/table259.xml"/><Relationship Id="rId16" Type="http://schemas.openxmlformats.org/officeDocument/2006/relationships/table" Target="../tables/table273.xml"/><Relationship Id="rId20" Type="http://schemas.openxmlformats.org/officeDocument/2006/relationships/table" Target="../tables/table277.xml"/><Relationship Id="rId1" Type="http://schemas.openxmlformats.org/officeDocument/2006/relationships/table" Target="../tables/table258.xml"/><Relationship Id="rId6" Type="http://schemas.openxmlformats.org/officeDocument/2006/relationships/table" Target="../tables/table263.xml"/><Relationship Id="rId11" Type="http://schemas.openxmlformats.org/officeDocument/2006/relationships/table" Target="../tables/table268.xml"/><Relationship Id="rId5" Type="http://schemas.openxmlformats.org/officeDocument/2006/relationships/table" Target="../tables/table262.xml"/><Relationship Id="rId15" Type="http://schemas.openxmlformats.org/officeDocument/2006/relationships/table" Target="../tables/table272.xml"/><Relationship Id="rId10" Type="http://schemas.openxmlformats.org/officeDocument/2006/relationships/table" Target="../tables/table267.xml"/><Relationship Id="rId19" Type="http://schemas.openxmlformats.org/officeDocument/2006/relationships/table" Target="../tables/table276.xml"/><Relationship Id="rId4" Type="http://schemas.openxmlformats.org/officeDocument/2006/relationships/table" Target="../tables/table261.xml"/><Relationship Id="rId9" Type="http://schemas.openxmlformats.org/officeDocument/2006/relationships/table" Target="../tables/table266.xml"/><Relationship Id="rId14" Type="http://schemas.openxmlformats.org/officeDocument/2006/relationships/table" Target="../tables/table27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table" Target="../tables/table17.xml"/><Relationship Id="rId7" Type="http://schemas.openxmlformats.org/officeDocument/2006/relationships/table" Target="../tables/table21.xml"/><Relationship Id="rId12" Type="http://schemas.openxmlformats.org/officeDocument/2006/relationships/table" Target="../tables/table26.xml"/><Relationship Id="rId2" Type="http://schemas.openxmlformats.org/officeDocument/2006/relationships/table" Target="../tables/table16.xml"/><Relationship Id="rId1" Type="http://schemas.openxmlformats.org/officeDocument/2006/relationships/table" Target="../tables/table15.xml"/><Relationship Id="rId6" Type="http://schemas.openxmlformats.org/officeDocument/2006/relationships/table" Target="../tables/table20.xml"/><Relationship Id="rId11" Type="http://schemas.openxmlformats.org/officeDocument/2006/relationships/table" Target="../tables/table25.xml"/><Relationship Id="rId5" Type="http://schemas.openxmlformats.org/officeDocument/2006/relationships/table" Target="../tables/table19.xml"/><Relationship Id="rId10" Type="http://schemas.openxmlformats.org/officeDocument/2006/relationships/table" Target="../tables/table24.xml"/><Relationship Id="rId4" Type="http://schemas.openxmlformats.org/officeDocument/2006/relationships/table" Target="../tables/table18.xml"/><Relationship Id="rId9" Type="http://schemas.openxmlformats.org/officeDocument/2006/relationships/table" Target="../tables/table23.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4.xml"/><Relationship Id="rId13" Type="http://schemas.openxmlformats.org/officeDocument/2006/relationships/table" Target="../tables/table39.xml"/><Relationship Id="rId18" Type="http://schemas.openxmlformats.org/officeDocument/2006/relationships/table" Target="../tables/table44.xml"/><Relationship Id="rId3" Type="http://schemas.openxmlformats.org/officeDocument/2006/relationships/table" Target="../tables/table29.xml"/><Relationship Id="rId21" Type="http://schemas.openxmlformats.org/officeDocument/2006/relationships/table" Target="../tables/table47.xml"/><Relationship Id="rId7" Type="http://schemas.openxmlformats.org/officeDocument/2006/relationships/table" Target="../tables/table33.xml"/><Relationship Id="rId12" Type="http://schemas.openxmlformats.org/officeDocument/2006/relationships/table" Target="../tables/table38.xml"/><Relationship Id="rId17" Type="http://schemas.openxmlformats.org/officeDocument/2006/relationships/table" Target="../tables/table43.xml"/><Relationship Id="rId2" Type="http://schemas.openxmlformats.org/officeDocument/2006/relationships/table" Target="../tables/table28.xml"/><Relationship Id="rId16" Type="http://schemas.openxmlformats.org/officeDocument/2006/relationships/table" Target="../tables/table42.xml"/><Relationship Id="rId20" Type="http://schemas.openxmlformats.org/officeDocument/2006/relationships/table" Target="../tables/table46.xml"/><Relationship Id="rId1" Type="http://schemas.openxmlformats.org/officeDocument/2006/relationships/table" Target="../tables/table27.xml"/><Relationship Id="rId6" Type="http://schemas.openxmlformats.org/officeDocument/2006/relationships/table" Target="../tables/table32.xml"/><Relationship Id="rId11" Type="http://schemas.openxmlformats.org/officeDocument/2006/relationships/table" Target="../tables/table37.xml"/><Relationship Id="rId5" Type="http://schemas.openxmlformats.org/officeDocument/2006/relationships/table" Target="../tables/table31.xml"/><Relationship Id="rId15" Type="http://schemas.openxmlformats.org/officeDocument/2006/relationships/table" Target="../tables/table41.xml"/><Relationship Id="rId10" Type="http://schemas.openxmlformats.org/officeDocument/2006/relationships/table" Target="../tables/table36.xml"/><Relationship Id="rId19" Type="http://schemas.openxmlformats.org/officeDocument/2006/relationships/table" Target="../tables/table45.xml"/><Relationship Id="rId4" Type="http://schemas.openxmlformats.org/officeDocument/2006/relationships/table" Target="../tables/table30.xml"/><Relationship Id="rId9" Type="http://schemas.openxmlformats.org/officeDocument/2006/relationships/table" Target="../tables/table35.xml"/><Relationship Id="rId14" Type="http://schemas.openxmlformats.org/officeDocument/2006/relationships/table" Target="../tables/table40.xml"/></Relationships>
</file>

<file path=xl/worksheets/_rels/sheet7.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21" Type="http://schemas.openxmlformats.org/officeDocument/2006/relationships/table" Target="../tables/table68.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table" Target="../tables/table49.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table" Target="../tables/table48.xml"/><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76.xml"/><Relationship Id="rId13" Type="http://schemas.openxmlformats.org/officeDocument/2006/relationships/table" Target="../tables/table81.xml"/><Relationship Id="rId18" Type="http://schemas.openxmlformats.org/officeDocument/2006/relationships/table" Target="../tables/table86.xml"/><Relationship Id="rId3" Type="http://schemas.openxmlformats.org/officeDocument/2006/relationships/table" Target="../tables/table71.xml"/><Relationship Id="rId21" Type="http://schemas.openxmlformats.org/officeDocument/2006/relationships/table" Target="../tables/table89.xml"/><Relationship Id="rId7" Type="http://schemas.openxmlformats.org/officeDocument/2006/relationships/table" Target="../tables/table75.xml"/><Relationship Id="rId12" Type="http://schemas.openxmlformats.org/officeDocument/2006/relationships/table" Target="../tables/table80.xml"/><Relationship Id="rId17" Type="http://schemas.openxmlformats.org/officeDocument/2006/relationships/table" Target="../tables/table85.xml"/><Relationship Id="rId2" Type="http://schemas.openxmlformats.org/officeDocument/2006/relationships/table" Target="../tables/table70.xml"/><Relationship Id="rId16" Type="http://schemas.openxmlformats.org/officeDocument/2006/relationships/table" Target="../tables/table84.xml"/><Relationship Id="rId20" Type="http://schemas.openxmlformats.org/officeDocument/2006/relationships/table" Target="../tables/table88.xml"/><Relationship Id="rId1" Type="http://schemas.openxmlformats.org/officeDocument/2006/relationships/table" Target="../tables/table69.xml"/><Relationship Id="rId6" Type="http://schemas.openxmlformats.org/officeDocument/2006/relationships/table" Target="../tables/table74.xml"/><Relationship Id="rId11" Type="http://schemas.openxmlformats.org/officeDocument/2006/relationships/table" Target="../tables/table79.xml"/><Relationship Id="rId5" Type="http://schemas.openxmlformats.org/officeDocument/2006/relationships/table" Target="../tables/table73.xml"/><Relationship Id="rId15" Type="http://schemas.openxmlformats.org/officeDocument/2006/relationships/table" Target="../tables/table83.xml"/><Relationship Id="rId10" Type="http://schemas.openxmlformats.org/officeDocument/2006/relationships/table" Target="../tables/table78.xml"/><Relationship Id="rId19" Type="http://schemas.openxmlformats.org/officeDocument/2006/relationships/table" Target="../tables/table87.xml"/><Relationship Id="rId4" Type="http://schemas.openxmlformats.org/officeDocument/2006/relationships/table" Target="../tables/table72.xml"/><Relationship Id="rId9" Type="http://schemas.openxmlformats.org/officeDocument/2006/relationships/table" Target="../tables/table77.xml"/><Relationship Id="rId14" Type="http://schemas.openxmlformats.org/officeDocument/2006/relationships/table" Target="../tables/table82.xml"/></Relationships>
</file>

<file path=xl/worksheets/_rels/sheet9.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18" Type="http://schemas.openxmlformats.org/officeDocument/2006/relationships/table" Target="../tables/table107.xml"/><Relationship Id="rId3" Type="http://schemas.openxmlformats.org/officeDocument/2006/relationships/table" Target="../tables/table92.xml"/><Relationship Id="rId21" Type="http://schemas.openxmlformats.org/officeDocument/2006/relationships/table" Target="../tables/table110.xml"/><Relationship Id="rId7" Type="http://schemas.openxmlformats.org/officeDocument/2006/relationships/table" Target="../tables/table96.xml"/><Relationship Id="rId12" Type="http://schemas.openxmlformats.org/officeDocument/2006/relationships/table" Target="../tables/table101.xml"/><Relationship Id="rId17" Type="http://schemas.openxmlformats.org/officeDocument/2006/relationships/table" Target="../tables/table106.xml"/><Relationship Id="rId2" Type="http://schemas.openxmlformats.org/officeDocument/2006/relationships/table" Target="../tables/table91.xml"/><Relationship Id="rId16" Type="http://schemas.openxmlformats.org/officeDocument/2006/relationships/table" Target="../tables/table105.xml"/><Relationship Id="rId20" Type="http://schemas.openxmlformats.org/officeDocument/2006/relationships/table" Target="../tables/table109.xml"/><Relationship Id="rId1" Type="http://schemas.openxmlformats.org/officeDocument/2006/relationships/table" Target="../tables/table90.xml"/><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5" Type="http://schemas.openxmlformats.org/officeDocument/2006/relationships/table" Target="../tables/table104.xml"/><Relationship Id="rId10" Type="http://schemas.openxmlformats.org/officeDocument/2006/relationships/table" Target="../tables/table99.xml"/><Relationship Id="rId19" Type="http://schemas.openxmlformats.org/officeDocument/2006/relationships/table" Target="../tables/table108.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2662B-FCBD-5241-8EAB-ACAECD90CA89}">
  <dimension ref="A1:D44"/>
  <sheetViews>
    <sheetView workbookViewId="0">
      <selection activeCell="A48" sqref="A48"/>
    </sheetView>
  </sheetViews>
  <sheetFormatPr baseColWidth="10" defaultRowHeight="15"/>
  <cols>
    <col min="1" max="1" width="66.5" customWidth="1"/>
  </cols>
  <sheetData>
    <row r="1" spans="1:4" ht="16">
      <c r="A1" s="19" t="s">
        <v>300</v>
      </c>
    </row>
    <row r="2" spans="1:4" ht="16">
      <c r="A2" s="41" t="s">
        <v>301</v>
      </c>
    </row>
    <row r="3" spans="1:4" ht="16">
      <c r="A3" s="41" t="s">
        <v>378</v>
      </c>
      <c r="B3" s="42"/>
      <c r="C3" s="42"/>
      <c r="D3" s="42"/>
    </row>
    <row r="4" spans="1:4" ht="16">
      <c r="A4" s="19" t="s">
        <v>302</v>
      </c>
    </row>
    <row r="5" spans="1:4" ht="16">
      <c r="A5" s="19" t="s">
        <v>303</v>
      </c>
    </row>
    <row r="6" spans="1:4" ht="16">
      <c r="A6" s="19" t="s">
        <v>304</v>
      </c>
    </row>
    <row r="7" spans="1:4" ht="16">
      <c r="A7" s="19" t="s">
        <v>305</v>
      </c>
    </row>
    <row r="8" spans="1:4" ht="16">
      <c r="A8" s="19" t="s">
        <v>306</v>
      </c>
    </row>
    <row r="9" spans="1:4" ht="16">
      <c r="A9" s="19" t="s">
        <v>307</v>
      </c>
    </row>
    <row r="10" spans="1:4" ht="16">
      <c r="A10" s="41" t="s">
        <v>308</v>
      </c>
      <c r="B10" s="20"/>
      <c r="C10" s="20"/>
      <c r="D10" s="21"/>
    </row>
    <row r="11" spans="1:4" ht="64">
      <c r="A11" s="43" t="s">
        <v>309</v>
      </c>
      <c r="B11" s="44" t="s">
        <v>310</v>
      </c>
      <c r="C11" s="44" t="s">
        <v>311</v>
      </c>
      <c r="D11" s="22" t="s">
        <v>312</v>
      </c>
    </row>
    <row r="12" spans="1:4" ht="17">
      <c r="A12" s="23" t="s">
        <v>313</v>
      </c>
      <c r="B12" s="20"/>
      <c r="C12" s="20"/>
      <c r="D12" s="21"/>
    </row>
    <row r="13" spans="1:4" ht="17">
      <c r="A13" s="24" t="s">
        <v>314</v>
      </c>
      <c r="B13" s="20"/>
      <c r="C13" s="20"/>
      <c r="D13" s="21" t="s">
        <v>315</v>
      </c>
    </row>
    <row r="14" spans="1:4" ht="17">
      <c r="A14" s="24" t="s">
        <v>316</v>
      </c>
      <c r="B14" s="20"/>
      <c r="C14" s="20"/>
      <c r="D14" s="21" t="s">
        <v>317</v>
      </c>
    </row>
    <row r="15" spans="1:4" ht="17">
      <c r="A15" s="24" t="s">
        <v>318</v>
      </c>
      <c r="B15" s="20"/>
      <c r="C15" s="20"/>
      <c r="D15" s="21" t="s">
        <v>319</v>
      </c>
    </row>
    <row r="16" spans="1:4" ht="17">
      <c r="A16" s="23" t="s">
        <v>320</v>
      </c>
      <c r="B16" s="20"/>
      <c r="C16" s="20"/>
      <c r="D16" s="21"/>
    </row>
    <row r="17" spans="1:4" ht="17">
      <c r="A17" s="24" t="s">
        <v>321</v>
      </c>
      <c r="B17" s="20">
        <v>24</v>
      </c>
      <c r="C17" s="20"/>
      <c r="D17" s="21" t="s">
        <v>322</v>
      </c>
    </row>
    <row r="18" spans="1:4" ht="17">
      <c r="A18" s="24" t="s">
        <v>323</v>
      </c>
      <c r="B18" s="20">
        <v>24</v>
      </c>
      <c r="C18" s="20"/>
      <c r="D18" s="21" t="s">
        <v>324</v>
      </c>
    </row>
    <row r="19" spans="1:4" ht="17">
      <c r="A19" s="24" t="s">
        <v>325</v>
      </c>
      <c r="B19" s="20">
        <v>24</v>
      </c>
      <c r="C19" s="20"/>
      <c r="D19" s="21" t="s">
        <v>326</v>
      </c>
    </row>
    <row r="20" spans="1:4" ht="17">
      <c r="A20" s="24" t="s">
        <v>327</v>
      </c>
      <c r="B20" s="20">
        <v>24</v>
      </c>
      <c r="C20" s="20"/>
      <c r="D20" s="21" t="s">
        <v>328</v>
      </c>
    </row>
    <row r="21" spans="1:4" ht="17">
      <c r="A21" s="24" t="s">
        <v>329</v>
      </c>
      <c r="B21" s="20">
        <v>24</v>
      </c>
      <c r="C21" s="20" t="s">
        <v>330</v>
      </c>
      <c r="D21" s="21" t="s">
        <v>331</v>
      </c>
    </row>
    <row r="22" spans="1:4" ht="16">
      <c r="A22" s="24"/>
      <c r="B22" s="20"/>
      <c r="C22" s="20"/>
      <c r="D22" s="21"/>
    </row>
    <row r="23" spans="1:4" ht="17">
      <c r="A23" s="23" t="s">
        <v>332</v>
      </c>
      <c r="B23" s="20"/>
      <c r="C23" s="20"/>
      <c r="D23" s="21"/>
    </row>
    <row r="24" spans="1:4" ht="17">
      <c r="A24" s="25" t="s">
        <v>333</v>
      </c>
      <c r="B24" s="20">
        <v>27</v>
      </c>
      <c r="C24" s="20"/>
      <c r="D24" s="21" t="s">
        <v>334</v>
      </c>
    </row>
    <row r="25" spans="1:4" ht="17">
      <c r="A25" s="25" t="s">
        <v>335</v>
      </c>
      <c r="B25" s="20">
        <v>27</v>
      </c>
      <c r="C25" s="20" t="s">
        <v>336</v>
      </c>
      <c r="D25" s="21" t="s">
        <v>337</v>
      </c>
    </row>
    <row r="26" spans="1:4" ht="17">
      <c r="A26" s="26" t="s">
        <v>338</v>
      </c>
      <c r="B26" s="27">
        <v>27</v>
      </c>
      <c r="C26" s="27" t="s">
        <v>339</v>
      </c>
      <c r="D26" s="28" t="s">
        <v>340</v>
      </c>
    </row>
    <row r="27" spans="1:4" ht="17">
      <c r="A27" s="26" t="s">
        <v>341</v>
      </c>
      <c r="B27" s="27">
        <v>27</v>
      </c>
      <c r="C27" s="27" t="s">
        <v>342</v>
      </c>
      <c r="D27" s="28" t="s">
        <v>343</v>
      </c>
    </row>
    <row r="28" spans="1:4" ht="17">
      <c r="A28" s="26" t="s">
        <v>344</v>
      </c>
      <c r="B28" s="27">
        <v>27</v>
      </c>
      <c r="C28" s="27" t="s">
        <v>345</v>
      </c>
      <c r="D28" s="28" t="s">
        <v>346</v>
      </c>
    </row>
    <row r="29" spans="1:4" ht="16">
      <c r="A29" s="25" t="s">
        <v>347</v>
      </c>
      <c r="B29" s="20">
        <v>9</v>
      </c>
      <c r="C29" s="20"/>
      <c r="D29" s="29" t="s">
        <v>348</v>
      </c>
    </row>
    <row r="30" spans="1:4" ht="16">
      <c r="A30" s="25" t="s">
        <v>349</v>
      </c>
      <c r="B30" s="30">
        <v>9</v>
      </c>
      <c r="C30" s="30"/>
      <c r="D30" s="29" t="s">
        <v>350</v>
      </c>
    </row>
    <row r="31" spans="1:4" ht="16">
      <c r="A31" s="31" t="s">
        <v>351</v>
      </c>
      <c r="B31" s="27">
        <v>9</v>
      </c>
      <c r="C31" s="27" t="s">
        <v>352</v>
      </c>
      <c r="D31" s="32" t="s">
        <v>353</v>
      </c>
    </row>
    <row r="32" spans="1:4">
      <c r="A32" s="33"/>
      <c r="B32" s="34"/>
      <c r="C32" s="34"/>
      <c r="D32" s="35"/>
    </row>
    <row r="33" spans="1:4" ht="17">
      <c r="A33" s="36" t="s">
        <v>354</v>
      </c>
      <c r="B33" s="20"/>
      <c r="C33" s="20"/>
      <c r="D33" s="21"/>
    </row>
    <row r="34" spans="1:4" ht="16">
      <c r="A34" s="25" t="s">
        <v>355</v>
      </c>
      <c r="B34" s="20">
        <v>25</v>
      </c>
      <c r="C34" s="20" t="s">
        <v>356</v>
      </c>
      <c r="D34" s="29" t="s">
        <v>357</v>
      </c>
    </row>
    <row r="35" spans="1:4" ht="16">
      <c r="A35" s="25" t="s">
        <v>358</v>
      </c>
      <c r="B35" s="20">
        <v>25</v>
      </c>
      <c r="C35" s="20" t="s">
        <v>359</v>
      </c>
      <c r="D35" s="29" t="s">
        <v>360</v>
      </c>
    </row>
    <row r="36" spans="1:4" ht="17">
      <c r="A36" s="36" t="s">
        <v>361</v>
      </c>
      <c r="B36" s="20"/>
      <c r="C36" s="20"/>
      <c r="D36" s="37"/>
    </row>
    <row r="37" spans="1:4" ht="16">
      <c r="A37" s="26" t="s">
        <v>362</v>
      </c>
      <c r="B37" s="27">
        <v>28</v>
      </c>
      <c r="C37" s="27" t="s">
        <v>363</v>
      </c>
      <c r="D37" s="29" t="s">
        <v>364</v>
      </c>
    </row>
    <row r="38" spans="1:4" ht="16">
      <c r="A38" s="26" t="s">
        <v>365</v>
      </c>
      <c r="B38" s="27">
        <v>28</v>
      </c>
      <c r="C38" s="27" t="s">
        <v>366</v>
      </c>
      <c r="D38" s="29" t="s">
        <v>367</v>
      </c>
    </row>
    <row r="39" spans="1:4" ht="16">
      <c r="A39" s="26" t="s">
        <v>368</v>
      </c>
      <c r="B39" s="27">
        <v>28</v>
      </c>
      <c r="C39" s="27"/>
      <c r="D39" s="29" t="s">
        <v>369</v>
      </c>
    </row>
    <row r="40" spans="1:4" ht="16">
      <c r="A40" s="26" t="s">
        <v>370</v>
      </c>
      <c r="B40" s="27">
        <v>28</v>
      </c>
      <c r="C40" s="27"/>
      <c r="D40" s="29" t="s">
        <v>371</v>
      </c>
    </row>
    <row r="41" spans="1:4" ht="16">
      <c r="A41" s="26" t="s">
        <v>372</v>
      </c>
      <c r="B41" s="27">
        <v>28</v>
      </c>
      <c r="C41" s="27" t="s">
        <v>352</v>
      </c>
      <c r="D41" s="29" t="s">
        <v>373</v>
      </c>
    </row>
    <row r="42" spans="1:4" ht="17">
      <c r="A42" s="36" t="s">
        <v>374</v>
      </c>
      <c r="B42" s="20"/>
      <c r="C42" s="20"/>
      <c r="D42" s="38"/>
    </row>
    <row r="43" spans="1:4" ht="32">
      <c r="A43" s="39" t="s">
        <v>375</v>
      </c>
      <c r="B43" s="40" t="s">
        <v>376</v>
      </c>
      <c r="C43" s="40"/>
      <c r="D43" s="29" t="s">
        <v>377</v>
      </c>
    </row>
    <row r="44" spans="1:4" ht="130" customHeight="1">
      <c r="A44" s="25" t="s">
        <v>379</v>
      </c>
      <c r="B44" s="37"/>
      <c r="C44" s="37"/>
      <c r="D44" s="37"/>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131</v>
      </c>
      <c r="G1" s="15" t="s">
        <v>132</v>
      </c>
      <c r="P1" s="15" t="s">
        <v>133</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73.6372120541604</v>
      </c>
      <c r="C3" s="11">
        <v>71.76138770263276</v>
      </c>
      <c r="D3" s="11">
        <v>-1.875824351527567</v>
      </c>
      <c r="E3" s="12" t="str">
        <f>IF(       0.368&lt;0.01,"***",IF(       0.368&lt;0.05,"**",IF(       0.368&lt;0.1,"*","NS")))</f>
        <v>NS</v>
      </c>
      <c r="G3" s="15" t="s">
        <v>5</v>
      </c>
      <c r="H3" s="11">
        <v>73.6372120541604</v>
      </c>
      <c r="I3" s="11">
        <v>71.142083403872078</v>
      </c>
      <c r="J3" s="11">
        <v>-2.4951286502883243</v>
      </c>
      <c r="K3" s="12" t="str">
        <f>IF(       0.287&lt;0.01,"***",IF(       0.287&lt;0.05,"**",IF(       0.287&lt;0.1,"*","NS")))</f>
        <v>NS</v>
      </c>
      <c r="L3" s="11">
        <v>72.698131577025222</v>
      </c>
      <c r="M3" s="11">
        <v>-0.93908047713519804</v>
      </c>
      <c r="N3" s="12" t="str">
        <f>IF(       0.764&lt;0.01,"***",IF(       0.764&lt;0.05,"**",IF(       0.764&lt;0.1,"*","NS")))</f>
        <v>NS</v>
      </c>
      <c r="P3" s="15" t="s">
        <v>5</v>
      </c>
      <c r="Q3" s="11">
        <v>73.408756966923221</v>
      </c>
      <c r="R3" s="11">
        <v>72.698131577025222</v>
      </c>
      <c r="S3" s="11">
        <v>-0.71062538989798096</v>
      </c>
      <c r="T3" s="12" t="str">
        <f>IF(       0.818&lt;0.01,"***",IF(       0.818&lt;0.05,"**",IF(       0.818&lt;0.1,"*","NS")))</f>
        <v>NS</v>
      </c>
    </row>
    <row r="4" spans="1:20">
      <c r="A4" s="15" t="s">
        <v>6</v>
      </c>
      <c r="B4" s="11">
        <v>90.220367765383955</v>
      </c>
      <c r="C4" s="11">
        <v>90.198090478536329</v>
      </c>
      <c r="D4" s="11">
        <v>-2.2277286847631427E-2</v>
      </c>
      <c r="E4" s="12" t="str">
        <f>IF(       0.987&lt;0.01,"***",IF(       0.987&lt;0.05,"**",IF(       0.987&lt;0.1,"*","NS")))</f>
        <v>NS</v>
      </c>
      <c r="G4" s="15" t="s">
        <v>6</v>
      </c>
      <c r="H4" s="11">
        <v>90.220367765383955</v>
      </c>
      <c r="I4" s="11">
        <v>91.714452036476189</v>
      </c>
      <c r="J4" s="11">
        <v>1.4940842710921887</v>
      </c>
      <c r="K4" s="12" t="str">
        <f>IF(       0.331&lt;0.01,"***",IF(       0.331&lt;0.05,"**",IF(       0.331&lt;0.1,"*","NS")))</f>
        <v>NS</v>
      </c>
      <c r="L4" s="11">
        <v>86.330144467107544</v>
      </c>
      <c r="M4" s="11">
        <v>-3.8902232982765352</v>
      </c>
      <c r="N4" s="12" t="str">
        <f>IF(       0.144&lt;0.01,"***",IF(       0.144&lt;0.05,"**",IF(       0.144&lt;0.1,"*","NS")))</f>
        <v>NS</v>
      </c>
      <c r="P4" s="15" t="s">
        <v>6</v>
      </c>
      <c r="Q4" s="11">
        <v>90.360943424913671</v>
      </c>
      <c r="R4" s="11">
        <v>86.330144467107544</v>
      </c>
      <c r="S4" s="11">
        <v>-4.0307989578060583</v>
      </c>
      <c r="T4" s="12" t="str">
        <f>IF(       0.127&lt;0.01,"***",IF(       0.127&lt;0.05,"**",IF(       0.127&lt;0.1,"*","NS")))</f>
        <v>NS</v>
      </c>
    </row>
    <row r="5" spans="1:20">
      <c r="A5" s="15" t="s">
        <v>7</v>
      </c>
      <c r="B5" s="11">
        <v>98.358004621174942</v>
      </c>
      <c r="C5" s="11">
        <v>96.863041741075619</v>
      </c>
      <c r="D5" s="11">
        <v>-1.4949628800993298</v>
      </c>
      <c r="E5" s="12" t="str">
        <f>IF(       0.238&lt;0.01,"***",IF(       0.238&lt;0.05,"**",IF(       0.238&lt;0.1,"*","NS")))</f>
        <v>NS</v>
      </c>
      <c r="G5" s="15" t="s">
        <v>7</v>
      </c>
      <c r="H5" s="11">
        <v>98.358004621174942</v>
      </c>
      <c r="I5" s="11">
        <v>97.284538733982728</v>
      </c>
      <c r="J5" s="11">
        <v>-1.0734658871922356</v>
      </c>
      <c r="K5" s="12" t="str">
        <f>IF(       0.212&lt;0.01,"***",IF(       0.212&lt;0.05,"**",IF(       0.212&lt;0.1,"*","NS")))</f>
        <v>NS</v>
      </c>
      <c r="L5" s="11">
        <v>95.899486300363847</v>
      </c>
      <c r="M5" s="11">
        <v>-2.4585183208109886</v>
      </c>
      <c r="N5" s="12" t="str">
        <f>IF(       0.28&lt;0.01,"***",IF(       0.28&lt;0.05,"**",IF(       0.28&lt;0.1,"*","NS")))</f>
        <v>NS</v>
      </c>
      <c r="P5" s="15" t="s">
        <v>7</v>
      </c>
      <c r="Q5" s="11">
        <v>98.232046356450709</v>
      </c>
      <c r="R5" s="11">
        <v>95.899486300363847</v>
      </c>
      <c r="S5" s="11">
        <v>-2.3325600560868498</v>
      </c>
      <c r="T5" s="12" t="str">
        <f>IF(       0.285&lt;0.01,"***",IF(       0.285&lt;0.05,"**",IF(       0.285&lt;0.1,"*","NS")))</f>
        <v>NS</v>
      </c>
    </row>
    <row r="6" spans="1:20">
      <c r="A6" s="15" t="s">
        <v>8</v>
      </c>
      <c r="B6" s="11">
        <v>41.254772395233928</v>
      </c>
      <c r="C6" s="11">
        <v>43.648986277617681</v>
      </c>
      <c r="D6" s="11">
        <v>2.3942138823836294</v>
      </c>
      <c r="E6" s="12" t="str">
        <f>IF(       0.363&lt;0.01,"***",IF(       0.363&lt;0.05,"**",IF(       0.363&lt;0.1,"*","NS")))</f>
        <v>NS</v>
      </c>
      <c r="G6" s="15" t="s">
        <v>8</v>
      </c>
      <c r="H6" s="11">
        <v>41.254772395233928</v>
      </c>
      <c r="I6" s="11">
        <v>44.510438824260547</v>
      </c>
      <c r="J6" s="11">
        <v>3.255666429026677</v>
      </c>
      <c r="K6" s="12" t="str">
        <f>IF(       0.28&lt;0.01,"***",IF(       0.28&lt;0.05,"**",IF(       0.28&lt;0.1,"*","NS")))</f>
        <v>NS</v>
      </c>
      <c r="L6" s="11">
        <v>41.597540739002049</v>
      </c>
      <c r="M6" s="11">
        <v>0.34276834376818632</v>
      </c>
      <c r="N6" s="12" t="str">
        <f>IF(       0.932&lt;0.01,"***",IF(       0.932&lt;0.05,"**",IF(       0.932&lt;0.1,"*","NS")))</f>
        <v>NS</v>
      </c>
      <c r="P6" s="15" t="s">
        <v>8</v>
      </c>
      <c r="Q6" s="11">
        <v>41.550456323737322</v>
      </c>
      <c r="R6" s="11">
        <v>41.597540739002049</v>
      </c>
      <c r="S6" s="11">
        <v>4.7084415264694653E-2</v>
      </c>
      <c r="T6" s="12" t="str">
        <f>IF(       0.991&lt;0.01,"***",IF(       0.991&lt;0.05,"**",IF(       0.991&lt;0.1,"*","NS")))</f>
        <v>NS</v>
      </c>
    </row>
    <row r="7" spans="1:20">
      <c r="A7" s="15" t="s">
        <v>10</v>
      </c>
      <c r="B7" s="11">
        <v>81.193150342410107</v>
      </c>
      <c r="C7" s="11">
        <v>81.947908045594247</v>
      </c>
      <c r="D7" s="11">
        <v>0.75475770318409252</v>
      </c>
      <c r="E7" s="12" t="str">
        <f>IF(       0.467&lt;0.01,"***",IF(       0.467&lt;0.05,"**",IF(       0.467&lt;0.1,"*","NS")))</f>
        <v>NS</v>
      </c>
      <c r="G7" s="15" t="s">
        <v>10</v>
      </c>
      <c r="H7" s="11">
        <v>81.193150342410107</v>
      </c>
      <c r="I7" s="11">
        <v>82.715602257562423</v>
      </c>
      <c r="J7" s="11">
        <v>1.5224519151522817</v>
      </c>
      <c r="K7" s="12" t="str">
        <f>IF(       0.18&lt;0.01,"***",IF(       0.18&lt;0.05,"**",IF(       0.18&lt;0.1,"*","NS")))</f>
        <v>NS</v>
      </c>
      <c r="L7" s="11">
        <v>80.365378769511224</v>
      </c>
      <c r="M7" s="11">
        <v>-0.8277715728988837</v>
      </c>
      <c r="N7" s="12" t="str">
        <f>IF(       0.642&lt;0.01,"***",IF(       0.642&lt;0.05,"**",IF(       0.642&lt;0.1,"*","NS")))</f>
        <v>NS</v>
      </c>
      <c r="P7" s="15" t="s">
        <v>10</v>
      </c>
      <c r="Q7" s="11">
        <v>81.348601907610487</v>
      </c>
      <c r="R7" s="11">
        <v>80.365378769511224</v>
      </c>
      <c r="S7" s="11">
        <v>-0.9832231380991493</v>
      </c>
      <c r="T7" s="12" t="str">
        <f>IF(       0.577&lt;0.01,"***",IF(       0.577&lt;0.05,"**",IF(       0.577&lt;0.1,"*","NS")))</f>
        <v>NS</v>
      </c>
    </row>
    <row r="9" spans="1:20">
      <c r="A9" s="15" t="s">
        <v>134</v>
      </c>
      <c r="G9" s="15" t="s">
        <v>135</v>
      </c>
      <c r="P9" s="15" t="s">
        <v>136</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73.389518528008765</v>
      </c>
      <c r="C11" s="11">
        <v>72.681713510796897</v>
      </c>
      <c r="D11" s="11">
        <v>-0.70780501721187028</v>
      </c>
      <c r="E11" s="12" t="str">
        <f>IF(       0.792&lt;0.01,"***",IF(       0.792&lt;0.05,"**",IF(       0.792&lt;0.1,"*","NS")))</f>
        <v>NS</v>
      </c>
      <c r="G11" s="15" t="s">
        <v>5</v>
      </c>
      <c r="H11" s="11">
        <v>73.389518528008765</v>
      </c>
      <c r="I11" s="11">
        <v>71.769739824618384</v>
      </c>
      <c r="J11" s="11">
        <v>-1.619778703390421</v>
      </c>
      <c r="K11" s="12" t="str">
        <f>IF(       0.582&lt;0.01,"***",IF(       0.582&lt;0.05,"**",IF(       0.582&lt;0.1,"*","NS")))</f>
        <v>NS</v>
      </c>
      <c r="L11" s="11">
        <v>74.086512035516265</v>
      </c>
      <c r="M11" s="11">
        <v>0.69699350750753963</v>
      </c>
      <c r="N11" s="12" t="str">
        <f>IF(       0.876&lt;0.01,"***",IF(       0.876&lt;0.05,"**",IF(       0.876&lt;0.1,"*","NS")))</f>
        <v>NS</v>
      </c>
      <c r="P11" s="15" t="s">
        <v>5</v>
      </c>
      <c r="Q11" s="11">
        <v>73.242879246668039</v>
      </c>
      <c r="R11" s="11">
        <v>74.086512035516265</v>
      </c>
      <c r="S11" s="11">
        <v>0.84363278884824022</v>
      </c>
      <c r="T11" s="12" t="str">
        <f>IF(       0.848&lt;0.01,"***",IF(       0.848&lt;0.05,"**",IF(       0.848&lt;0.1,"*","NS")))</f>
        <v>NS</v>
      </c>
    </row>
    <row r="12" spans="1:20">
      <c r="A12" s="15" t="s">
        <v>6</v>
      </c>
      <c r="B12" s="11">
        <v>89.774669524171003</v>
      </c>
      <c r="C12" s="11">
        <v>92.597104073576432</v>
      </c>
      <c r="D12" s="11">
        <v>2.8224345494054446</v>
      </c>
      <c r="E12" s="12" t="str">
        <f>IF(       0.052&lt;0.01,"***",IF(       0.052&lt;0.05,"**",IF(       0.052&lt;0.1,"*","NS")))</f>
        <v>*</v>
      </c>
      <c r="G12" s="15" t="s">
        <v>6</v>
      </c>
      <c r="H12" s="11">
        <v>89.774669524171003</v>
      </c>
      <c r="I12" s="11">
        <v>94.402775861104672</v>
      </c>
      <c r="J12" s="11">
        <v>4.6281063369336675</v>
      </c>
      <c r="K12" s="12" t="str">
        <f>IF(       0.001&lt;0.01,"***",IF(       0.001&lt;0.05,"**",IF(       0.001&lt;0.1,"*","NS")))</f>
        <v>***</v>
      </c>
      <c r="L12" s="11">
        <v>87.654817178354918</v>
      </c>
      <c r="M12" s="11">
        <v>-2.1198523458160556</v>
      </c>
      <c r="N12" s="12" t="str">
        <f>IF(       0.576&lt;0.01,"***",IF(       0.576&lt;0.05,"**",IF(       0.576&lt;0.1,"*","NS")))</f>
        <v>NS</v>
      </c>
      <c r="P12" s="15" t="s">
        <v>6</v>
      </c>
      <c r="Q12" s="11">
        <v>90.193723465157149</v>
      </c>
      <c r="R12" s="11">
        <v>87.654817178354918</v>
      </c>
      <c r="S12" s="11">
        <v>-2.5389062868022063</v>
      </c>
      <c r="T12" s="12" t="str">
        <f>IF(       0.502&lt;0.01,"***",IF(       0.502&lt;0.05,"**",IF(       0.502&lt;0.1,"*","NS")))</f>
        <v>NS</v>
      </c>
    </row>
    <row r="13" spans="1:20">
      <c r="A13" s="15" t="s">
        <v>7</v>
      </c>
      <c r="B13" s="11">
        <v>98.120795730148075</v>
      </c>
      <c r="C13" s="11">
        <v>97.118138235609479</v>
      </c>
      <c r="D13" s="11">
        <v>-1.0026574945385878</v>
      </c>
      <c r="E13" s="12" t="str">
        <f>IF(       0.248&lt;0.01,"***",IF(       0.248&lt;0.05,"**",IF(       0.248&lt;0.1,"*","NS")))</f>
        <v>NS</v>
      </c>
      <c r="G13" s="15" t="s">
        <v>7</v>
      </c>
      <c r="H13" s="11">
        <v>98.120795730148075</v>
      </c>
      <c r="I13" s="11">
        <v>97.394241045724598</v>
      </c>
      <c r="J13" s="11">
        <v>-0.72655468442348159</v>
      </c>
      <c r="K13" s="12" t="str">
        <f>IF(       0.395&lt;0.01,"***",IF(       0.395&lt;0.05,"**",IF(       0.395&lt;0.1,"*","NS")))</f>
        <v>NS</v>
      </c>
      <c r="L13" s="11">
        <v>96.414568916735334</v>
      </c>
      <c r="M13" s="11">
        <v>-1.706226813412725</v>
      </c>
      <c r="N13" s="12" t="str">
        <f>IF(       0.151&lt;0.01,"***",IF(       0.151&lt;0.05,"**",IF(       0.151&lt;0.1,"*","NS")))</f>
        <v>NS</v>
      </c>
      <c r="P13" s="15" t="s">
        <v>7</v>
      </c>
      <c r="Q13" s="11">
        <v>98.020548327180123</v>
      </c>
      <c r="R13" s="11">
        <v>96.414568916735334</v>
      </c>
      <c r="S13" s="11">
        <v>-1.6059794104448004</v>
      </c>
      <c r="T13" s="12" t="str">
        <f>IF(       0.151&lt;0.01,"***",IF(       0.151&lt;0.05,"**",IF(       0.151&lt;0.1,"*","NS")))</f>
        <v>NS</v>
      </c>
    </row>
    <row r="14" spans="1:20">
      <c r="A14" s="15" t="s">
        <v>8</v>
      </c>
      <c r="B14" s="11">
        <v>41.324333857379287</v>
      </c>
      <c r="C14" s="11">
        <v>45.565188680676073</v>
      </c>
      <c r="D14" s="11">
        <v>4.2408548232969618</v>
      </c>
      <c r="E14" s="12" t="str">
        <f>IF(       0.136&lt;0.01,"***",IF(       0.136&lt;0.05,"**",IF(       0.136&lt;0.1,"*","NS")))</f>
        <v>NS</v>
      </c>
      <c r="G14" s="15" t="s">
        <v>8</v>
      </c>
      <c r="H14" s="11">
        <v>41.324333857379287</v>
      </c>
      <c r="I14" s="11">
        <v>46.754320318338188</v>
      </c>
      <c r="J14" s="11">
        <v>5.429986460958915</v>
      </c>
      <c r="K14" s="12" t="str">
        <f>IF(       0.12&lt;0.01,"***",IF(       0.12&lt;0.05,"**",IF(       0.12&lt;0.1,"*","NS")))</f>
        <v>NS</v>
      </c>
      <c r="L14" s="11">
        <v>42.560351319570351</v>
      </c>
      <c r="M14" s="11">
        <v>1.2360174621910749</v>
      </c>
      <c r="N14" s="12" t="str">
        <f>IF(       0.836&lt;0.01,"***",IF(       0.836&lt;0.05,"**",IF(       0.836&lt;0.1,"*","NS")))</f>
        <v>NS</v>
      </c>
      <c r="P14" s="15" t="s">
        <v>8</v>
      </c>
      <c r="Q14" s="11">
        <v>41.81513948027694</v>
      </c>
      <c r="R14" s="11">
        <v>42.560351319570351</v>
      </c>
      <c r="S14" s="11">
        <v>0.74521183929340473</v>
      </c>
      <c r="T14" s="12" t="str">
        <f>IF(       0.901&lt;0.01,"***",IF(       0.901&lt;0.05,"**",IF(       0.901&lt;0.1,"*","NS")))</f>
        <v>NS</v>
      </c>
    </row>
    <row r="15" spans="1:20">
      <c r="A15" s="15" t="s">
        <v>10</v>
      </c>
      <c r="B15" s="11">
        <v>80.897142420194527</v>
      </c>
      <c r="C15" s="11">
        <v>83.790569122298137</v>
      </c>
      <c r="D15" s="11">
        <v>2.8934267021035414</v>
      </c>
      <c r="E15" s="12" t="str">
        <f>IF(       0.013&lt;0.01,"***",IF(       0.013&lt;0.05,"**",IF(       0.013&lt;0.1,"*","NS")))</f>
        <v>**</v>
      </c>
      <c r="G15" s="15" t="s">
        <v>10</v>
      </c>
      <c r="H15" s="11">
        <v>80.897142420194527</v>
      </c>
      <c r="I15" s="11">
        <v>84.643024052928723</v>
      </c>
      <c r="J15" s="11">
        <v>3.7458816327342435</v>
      </c>
      <c r="K15" s="12" t="str">
        <f>IF(       0.002&lt;0.01,"***",IF(       0.002&lt;0.05,"**",IF(       0.002&lt;0.1,"*","NS")))</f>
        <v>***</v>
      </c>
      <c r="L15" s="11">
        <v>81.907584071021759</v>
      </c>
      <c r="M15" s="11">
        <v>1.0104416508272525</v>
      </c>
      <c r="N15" s="12" t="str">
        <f>IF(       0.644&lt;0.01,"***",IF(       0.644&lt;0.05,"**",IF(       0.644&lt;0.1,"*","NS")))</f>
        <v>NS</v>
      </c>
      <c r="P15" s="15" t="s">
        <v>10</v>
      </c>
      <c r="Q15" s="11">
        <v>81.304926960889873</v>
      </c>
      <c r="R15" s="11">
        <v>81.907584071021759</v>
      </c>
      <c r="S15" s="11">
        <v>0.60265711013190826</v>
      </c>
      <c r="T15" s="12" t="str">
        <f>IF(       0.781&lt;0.01,"***",IF(       0.781&lt;0.05,"**",IF(       0.781&lt;0.1,"*","NS")))</f>
        <v>NS</v>
      </c>
    </row>
    <row r="17" spans="1:20">
      <c r="A17" s="15" t="s">
        <v>137</v>
      </c>
      <c r="G17" s="15" t="s">
        <v>138</v>
      </c>
      <c r="P17" s="15" t="s">
        <v>139</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74.005311470367388</v>
      </c>
      <c r="C19" s="11">
        <v>70.458019059323306</v>
      </c>
      <c r="D19" s="11">
        <v>-3.5472924110440269</v>
      </c>
      <c r="E19" s="12" t="str">
        <f>IF(       0.212&lt;0.01,"***",IF(       0.212&lt;0.05,"**",IF(       0.212&lt;0.1,"*","NS")))</f>
        <v>NS</v>
      </c>
      <c r="G19" s="15" t="s">
        <v>5</v>
      </c>
      <c r="H19" s="11">
        <v>74.005311470367388</v>
      </c>
      <c r="I19" s="11">
        <v>70.2374838823429</v>
      </c>
      <c r="J19" s="11">
        <v>-3.7678275880244869</v>
      </c>
      <c r="K19" s="12" t="str">
        <f>IF(       0.269&lt;0.01,"***",IF(       0.269&lt;0.05,"**",IF(       0.269&lt;0.1,"*","NS")))</f>
        <v>NS</v>
      </c>
      <c r="L19" s="11">
        <v>70.783132744502751</v>
      </c>
      <c r="M19" s="11">
        <v>-3.2221787258646031</v>
      </c>
      <c r="N19" s="12" t="str">
        <f>IF(       0.525&lt;0.01,"***",IF(       0.525&lt;0.05,"**",IF(       0.525&lt;0.1,"*","NS")))</f>
        <v>NS</v>
      </c>
      <c r="P19" s="15" t="s">
        <v>5</v>
      </c>
      <c r="Q19" s="11">
        <v>73.654576318820787</v>
      </c>
      <c r="R19" s="11">
        <v>70.783132744502751</v>
      </c>
      <c r="S19" s="11">
        <v>-2.8714435743180537</v>
      </c>
      <c r="T19" s="12" t="str">
        <f>IF(       0.572&lt;0.01,"***",IF(       0.572&lt;0.05,"**",IF(       0.572&lt;0.1,"*","NS")))</f>
        <v>NS</v>
      </c>
    </row>
    <row r="20" spans="1:20">
      <c r="A20" s="15" t="s">
        <v>6</v>
      </c>
      <c r="B20" s="11">
        <v>90.847383751601853</v>
      </c>
      <c r="C20" s="11">
        <v>87.271006418592222</v>
      </c>
      <c r="D20" s="11">
        <v>-3.5763773330095354</v>
      </c>
      <c r="E20" s="12" t="str">
        <f>IF(       0.21&lt;0.01,"***",IF(       0.21&lt;0.05,"**",IF(       0.21&lt;0.1,"*","NS")))</f>
        <v>NS</v>
      </c>
      <c r="G20" s="15" t="s">
        <v>6</v>
      </c>
      <c r="H20" s="11">
        <v>90.847383751601853</v>
      </c>
      <c r="I20" s="11">
        <v>88.288593037325001</v>
      </c>
      <c r="J20" s="11">
        <v>-2.5587907142768853</v>
      </c>
      <c r="K20" s="12" t="str">
        <f>IF(       0.317&lt;0.01,"***",IF(       0.317&lt;0.05,"**",IF(       0.317&lt;0.1,"*","NS")))</f>
        <v>NS</v>
      </c>
      <c r="L20" s="11">
        <v>84.882496072575051</v>
      </c>
      <c r="M20" s="11">
        <v>-5.9648876790267202</v>
      </c>
      <c r="N20" s="12" t="str">
        <f>IF(       0.281&lt;0.01,"***",IF(       0.281&lt;0.05,"**",IF(       0.281&lt;0.1,"*","NS")))</f>
        <v>NS</v>
      </c>
      <c r="P20" s="15" t="s">
        <v>6</v>
      </c>
      <c r="Q20" s="11">
        <v>90.593997778787028</v>
      </c>
      <c r="R20" s="11">
        <v>84.882496072575051</v>
      </c>
      <c r="S20" s="11">
        <v>-5.7115017062119628</v>
      </c>
      <c r="T20" s="12" t="str">
        <f>IF(       0.294&lt;0.01,"***",IF(       0.294&lt;0.05,"**",IF(       0.294&lt;0.1,"*","NS")))</f>
        <v>NS</v>
      </c>
    </row>
    <row r="21" spans="1:20" ht="15.75" customHeight="1">
      <c r="A21" s="15" t="s">
        <v>7</v>
      </c>
      <c r="B21" s="11">
        <v>98.637782483506527</v>
      </c>
      <c r="C21" s="11">
        <v>96.42646397726952</v>
      </c>
      <c r="D21" s="11">
        <v>-2.2113185062370215</v>
      </c>
      <c r="E21" s="12" t="str">
        <f>IF(       0.273&lt;0.01,"***",IF(       0.273&lt;0.05,"**",IF(       0.273&lt;0.1,"*","NS")))</f>
        <v>NS</v>
      </c>
      <c r="G21" s="15" t="s">
        <v>7</v>
      </c>
      <c r="H21" s="11">
        <v>98.637782483506527</v>
      </c>
      <c r="I21" s="11">
        <v>97.079373805705416</v>
      </c>
      <c r="J21" s="11">
        <v>-1.5584086778011266</v>
      </c>
      <c r="K21" s="12" t="str">
        <f>IF(       0.202&lt;0.01,"***",IF(       0.202&lt;0.05,"**",IF(       0.202&lt;0.1,"*","NS")))</f>
        <v>NS</v>
      </c>
      <c r="L21" s="11">
        <v>95.174749796061278</v>
      </c>
      <c r="M21" s="11">
        <v>-3.4630326874452519</v>
      </c>
      <c r="N21" s="12" t="str">
        <f>IF(       0.396&lt;0.01,"***",IF(       0.396&lt;0.05,"**",IF(       0.396&lt;0.1,"*","NS")))</f>
        <v>NS</v>
      </c>
      <c r="P21" s="15" t="s">
        <v>7</v>
      </c>
      <c r="Q21" s="11">
        <v>98.494894133474546</v>
      </c>
      <c r="R21" s="11">
        <v>95.174749796061278</v>
      </c>
      <c r="S21" s="11">
        <v>-3.3201443374132573</v>
      </c>
      <c r="T21" s="12" t="str">
        <f>IF(       0.407&lt;0.01,"***",IF(       0.407&lt;0.05,"**",IF(       0.407&lt;0.1,"*","NS")))</f>
        <v>NS</v>
      </c>
    </row>
    <row r="22" spans="1:20" ht="15.75" customHeight="1">
      <c r="A22" s="15" t="s">
        <v>8</v>
      </c>
      <c r="B22" s="11">
        <v>41.173852993594473</v>
      </c>
      <c r="C22" s="11">
        <v>41.524212983366198</v>
      </c>
      <c r="D22" s="11">
        <v>0.35035998977172567</v>
      </c>
      <c r="E22" s="12" t="str">
        <f>IF(       0.919&lt;0.01,"***",IF(       0.919&lt;0.05,"**",IF(       0.919&lt;0.1,"*","NS")))</f>
        <v>NS</v>
      </c>
      <c r="G22" s="15" t="s">
        <v>8</v>
      </c>
      <c r="H22" s="11">
        <v>41.173852993594473</v>
      </c>
      <c r="I22" s="11">
        <v>41.929616954710582</v>
      </c>
      <c r="J22" s="11">
        <v>0.75576396111611599</v>
      </c>
      <c r="K22" s="12" t="str">
        <f>IF(       0.845&lt;0.01,"***",IF(       0.845&lt;0.05,"**",IF(       0.845&lt;0.1,"*","NS")))</f>
        <v>NS</v>
      </c>
      <c r="L22" s="11">
        <v>40.618771740355157</v>
      </c>
      <c r="M22" s="11">
        <v>-0.555081253239325</v>
      </c>
      <c r="N22" s="12" t="str">
        <f>IF(       0.91&lt;0.01,"***",IF(       0.91&lt;0.05,"**",IF(       0.91&lt;0.1,"*","NS")))</f>
        <v>NS</v>
      </c>
      <c r="P22" s="15" t="s">
        <v>8</v>
      </c>
      <c r="Q22" s="11">
        <v>41.242873043234752</v>
      </c>
      <c r="R22" s="11">
        <v>40.618771740355157</v>
      </c>
      <c r="S22" s="11">
        <v>-0.62410130287958832</v>
      </c>
      <c r="T22" s="12" t="str">
        <f>IF(       0.897&lt;0.01,"***",IF(       0.897&lt;0.05,"**",IF(       0.897&lt;0.1,"*","NS")))</f>
        <v>NS</v>
      </c>
    </row>
    <row r="23" spans="1:20" ht="15.75" customHeight="1">
      <c r="A23" s="15" t="s">
        <v>10</v>
      </c>
      <c r="B23" s="11">
        <v>81.576562979235149</v>
      </c>
      <c r="C23" s="11">
        <v>79.263126988271836</v>
      </c>
      <c r="D23" s="11">
        <v>-2.3134359909632702</v>
      </c>
      <c r="E23" s="12" t="str">
        <f>IF(       0.124&lt;0.01,"***",IF(       0.124&lt;0.05,"**",IF(       0.124&lt;0.1,"*","NS")))</f>
        <v>NS</v>
      </c>
      <c r="G23" s="15" t="s">
        <v>10</v>
      </c>
      <c r="H23" s="11">
        <v>81.576562979235149</v>
      </c>
      <c r="I23" s="11">
        <v>79.748308958637068</v>
      </c>
      <c r="J23" s="11">
        <v>-1.8282540205979556</v>
      </c>
      <c r="K23" s="12" t="str">
        <f>IF(       0.281&lt;0.01,"***",IF(       0.281&lt;0.05,"**",IF(       0.281&lt;0.1,"*","NS")))</f>
        <v>NS</v>
      </c>
      <c r="L23" s="11">
        <v>78.356198280185154</v>
      </c>
      <c r="M23" s="11">
        <v>-3.2203646990500845</v>
      </c>
      <c r="N23" s="12" t="str">
        <f>IF(       0.243&lt;0.01,"***",IF(       0.243&lt;0.05,"**",IF(       0.243&lt;0.1,"*","NS")))</f>
        <v>NS</v>
      </c>
      <c r="P23" s="15" t="s">
        <v>10</v>
      </c>
      <c r="Q23" s="11">
        <v>81.406167295831125</v>
      </c>
      <c r="R23" s="11">
        <v>78.356198280185154</v>
      </c>
      <c r="S23" s="11">
        <v>-3.0499690156463464</v>
      </c>
      <c r="T23" s="12" t="str">
        <f>IF(       0.268&lt;0.01,"***",IF(       0.268&lt;0.05,"**",IF(       0.268&lt;0.1,"*","NS")))</f>
        <v>NS</v>
      </c>
    </row>
    <row r="24" spans="1:20" ht="15.75" customHeight="1"/>
    <row r="25" spans="1:20" ht="15.75" customHeight="1">
      <c r="A25" s="15" t="s">
        <v>140</v>
      </c>
      <c r="G25" s="15" t="s">
        <v>141</v>
      </c>
      <c r="P25" s="15" t="s">
        <v>142</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74.518821097344514</v>
      </c>
      <c r="C27" s="11">
        <v>73.964806355637762</v>
      </c>
      <c r="D27" s="11">
        <v>-0.55401474170676923</v>
      </c>
      <c r="E27" s="12" t="str">
        <f>IF(       0.823&lt;0.01,"***",IF(       0.823&lt;0.05,"**",IF(       0.823&lt;0.1,"*","NS")))</f>
        <v>NS</v>
      </c>
      <c r="G27" s="15" t="s">
        <v>5</v>
      </c>
      <c r="H27" s="11">
        <v>74.518821097344514</v>
      </c>
      <c r="I27" s="11">
        <v>73.556422463826124</v>
      </c>
      <c r="J27" s="11">
        <v>-0.96239863351841282</v>
      </c>
      <c r="K27" s="12" t="str">
        <f>IF(       0.724&lt;0.01,"***",IF(       0.724&lt;0.05,"**",IF(       0.724&lt;0.1,"*","NS")))</f>
        <v>NS</v>
      </c>
      <c r="L27" s="11">
        <v>74.568635562211639</v>
      </c>
      <c r="M27" s="11">
        <v>4.9814464867084733E-2</v>
      </c>
      <c r="N27" s="12" t="str">
        <f>IF(       0.989&lt;0.01,"***",IF(       0.989&lt;0.05,"**",IF(       0.989&lt;0.1,"*","NS")))</f>
        <v>NS</v>
      </c>
      <c r="P27" s="15" t="s">
        <v>5</v>
      </c>
      <c r="Q27" s="11">
        <v>74.43180062341267</v>
      </c>
      <c r="R27" s="11">
        <v>74.568635562211639</v>
      </c>
      <c r="S27" s="11">
        <v>0.13683493879892875</v>
      </c>
      <c r="T27" s="12" t="str">
        <f>IF(       0.97&lt;0.01,"***",IF(       0.97&lt;0.05,"**",IF(       0.97&lt;0.1,"*","NS")))</f>
        <v>NS</v>
      </c>
    </row>
    <row r="28" spans="1:20" ht="15.75" customHeight="1">
      <c r="A28" s="15" t="s">
        <v>6</v>
      </c>
      <c r="B28" s="11">
        <v>86.576689549669297</v>
      </c>
      <c r="C28" s="11">
        <v>86.267768320524397</v>
      </c>
      <c r="D28" s="11">
        <v>-0.30892122914492987</v>
      </c>
      <c r="E28" s="12" t="str">
        <f>IF(       0.879&lt;0.01,"***",IF(       0.879&lt;0.05,"**",IF(       0.879&lt;0.1,"*","NS")))</f>
        <v>NS</v>
      </c>
      <c r="G28" s="15" t="s">
        <v>6</v>
      </c>
      <c r="H28" s="11">
        <v>86.576689549669297</v>
      </c>
      <c r="I28" s="11">
        <v>88.299659175639178</v>
      </c>
      <c r="J28" s="11">
        <v>1.7229696259699496</v>
      </c>
      <c r="K28" s="12" t="str">
        <f>IF(       0.453&lt;0.01,"***",IF(       0.453&lt;0.05,"**",IF(       0.453&lt;0.1,"*","NS")))</f>
        <v>NS</v>
      </c>
      <c r="L28" s="11">
        <v>81.653543330730528</v>
      </c>
      <c r="M28" s="11">
        <v>-4.9231462189388528</v>
      </c>
      <c r="N28" s="12" t="str">
        <f>IF(       0.162&lt;0.01,"***",IF(       0.162&lt;0.05,"**",IF(       0.162&lt;0.1,"*","NS")))</f>
        <v>NS</v>
      </c>
      <c r="P28" s="15" t="s">
        <v>6</v>
      </c>
      <c r="Q28" s="11">
        <v>86.731970669639779</v>
      </c>
      <c r="R28" s="11">
        <v>81.653543330730528</v>
      </c>
      <c r="S28" s="11">
        <v>-5.0784273389093997</v>
      </c>
      <c r="T28" s="12" t="str">
        <f>IF(       0.146&lt;0.01,"***",IF(       0.146&lt;0.05,"**",IF(       0.146&lt;0.1,"*","NS")))</f>
        <v>NS</v>
      </c>
    </row>
    <row r="29" spans="1:20" ht="15.75" customHeight="1">
      <c r="A29" s="15" t="s">
        <v>7</v>
      </c>
      <c r="B29" s="11">
        <v>94.004541739384067</v>
      </c>
      <c r="C29" s="11">
        <v>92.494574193529246</v>
      </c>
      <c r="D29" s="11">
        <v>-1.5099675458547686</v>
      </c>
      <c r="E29" s="12" t="str">
        <f>IF(       0.284&lt;0.01,"***",IF(       0.284&lt;0.05,"**",IF(       0.284&lt;0.1,"*","NS")))</f>
        <v>NS</v>
      </c>
      <c r="G29" s="15" t="s">
        <v>7</v>
      </c>
      <c r="H29" s="11">
        <v>94.004541739384067</v>
      </c>
      <c r="I29" s="11">
        <v>92.041506342295293</v>
      </c>
      <c r="J29" s="11">
        <v>-1.963035397088748</v>
      </c>
      <c r="K29" s="12" t="str">
        <f>IF(       0.251&lt;0.01,"***",IF(       0.251&lt;0.05,"**",IF(       0.251&lt;0.1,"*","NS")))</f>
        <v>NS</v>
      </c>
      <c r="L29" s="11">
        <v>93.343584286400713</v>
      </c>
      <c r="M29" s="11">
        <v>-0.66095745298335862</v>
      </c>
      <c r="N29" s="12" t="str">
        <f>IF(       0.583&lt;0.01,"***",IF(       0.583&lt;0.05,"**",IF(       0.583&lt;0.1,"*","NS")))</f>
        <v>NS</v>
      </c>
      <c r="P29" s="15" t="s">
        <v>7</v>
      </c>
      <c r="Q29" s="11">
        <v>93.786208344509959</v>
      </c>
      <c r="R29" s="11">
        <v>93.343584286400713</v>
      </c>
      <c r="S29" s="11">
        <v>-0.4426240581092491</v>
      </c>
      <c r="T29" s="12" t="str">
        <f>IF(       0.69&lt;0.01,"***",IF(       0.69&lt;0.05,"**",IF(       0.69&lt;0.1,"*","NS")))</f>
        <v>NS</v>
      </c>
    </row>
    <row r="30" spans="1:20" ht="15.75" customHeight="1">
      <c r="A30" s="15" t="s">
        <v>8</v>
      </c>
      <c r="B30" s="11">
        <v>33.585199693979213</v>
      </c>
      <c r="C30" s="11">
        <v>34.698780696185942</v>
      </c>
      <c r="D30" s="11">
        <v>1.1135810022067478</v>
      </c>
      <c r="E30" s="12" t="str">
        <f>IF(       0.724&lt;0.01,"***",IF(       0.724&lt;0.05,"**",IF(       0.724&lt;0.1,"*","NS")))</f>
        <v>NS</v>
      </c>
      <c r="G30" s="15" t="s">
        <v>8</v>
      </c>
      <c r="H30" s="11">
        <v>33.585199693979213</v>
      </c>
      <c r="I30" s="11">
        <v>35.108466410083473</v>
      </c>
      <c r="J30" s="11">
        <v>1.5232667161042996</v>
      </c>
      <c r="K30" s="12" t="str">
        <f>IF(       0.679&lt;0.01,"***",IF(       0.679&lt;0.05,"**",IF(       0.679&lt;0.1,"*","NS")))</f>
        <v>NS</v>
      </c>
      <c r="L30" s="11">
        <v>33.712684319898443</v>
      </c>
      <c r="M30" s="11">
        <v>0.1274846259192568</v>
      </c>
      <c r="N30" s="12" t="str">
        <f>IF(       0.979&lt;0.01,"***",IF(       0.979&lt;0.05,"**",IF(       0.979&lt;0.1,"*","NS")))</f>
        <v>NS</v>
      </c>
      <c r="P30" s="15" t="s">
        <v>8</v>
      </c>
      <c r="Q30" s="11">
        <v>33.726054949416657</v>
      </c>
      <c r="R30" s="11">
        <v>33.712684319898443</v>
      </c>
      <c r="S30" s="11">
        <v>-1.3370629518227118E-2</v>
      </c>
      <c r="T30" s="12" t="str">
        <f>IF(       0.998&lt;0.01,"***",IF(       0.998&lt;0.05,"**",IF(       0.998&lt;0.1,"*","NS")))</f>
        <v>NS</v>
      </c>
    </row>
    <row r="31" spans="1:20" ht="15.75" customHeight="1">
      <c r="A31" s="15" t="s">
        <v>10</v>
      </c>
      <c r="B31" s="11">
        <v>71.698172605967898</v>
      </c>
      <c r="C31" s="11">
        <v>72.376005690123648</v>
      </c>
      <c r="D31" s="11">
        <v>0.67783308415573873</v>
      </c>
      <c r="E31" s="12" t="str">
        <f>IF(       0.662&lt;0.01,"***",IF(       0.662&lt;0.05,"**",IF(       0.662&lt;0.1,"*","NS")))</f>
        <v>NS</v>
      </c>
      <c r="G31" s="15" t="s">
        <v>10</v>
      </c>
      <c r="H31" s="11">
        <v>71.698172605967898</v>
      </c>
      <c r="I31" s="11">
        <v>72.199657465386778</v>
      </c>
      <c r="J31" s="11">
        <v>0.50148485941882981</v>
      </c>
      <c r="K31" s="12" t="str">
        <f>IF(       0.77&lt;0.01,"***",IF(       0.77&lt;0.05,"**",IF(       0.77&lt;0.1,"*","NS")))</f>
        <v>NS</v>
      </c>
      <c r="L31" s="11">
        <v>72.696401574410316</v>
      </c>
      <c r="M31" s="11">
        <v>0.99822896844248954</v>
      </c>
      <c r="N31" s="12" t="str">
        <f>IF(       0.689&lt;0.01,"***",IF(       0.689&lt;0.05,"**",IF(       0.689&lt;0.1,"*","NS")))</f>
        <v>NS</v>
      </c>
      <c r="P31" s="15" t="s">
        <v>10</v>
      </c>
      <c r="Q31" s="11">
        <v>71.745123802571086</v>
      </c>
      <c r="R31" s="11">
        <v>72.696401574410316</v>
      </c>
      <c r="S31" s="11">
        <v>0.95127777183935192</v>
      </c>
      <c r="T31" s="12" t="str">
        <f>IF(       0.699&lt;0.01,"***",IF(       0.699&lt;0.05,"**",IF(       0.699&lt;0.1,"*","NS")))</f>
        <v>NS</v>
      </c>
    </row>
    <row r="32" spans="1:20" ht="15.75" customHeight="1"/>
    <row r="33" spans="1:20" ht="15.75" customHeight="1">
      <c r="A33" s="15" t="s">
        <v>143</v>
      </c>
      <c r="G33" s="15" t="s">
        <v>144</v>
      </c>
      <c r="P33" s="15" t="s">
        <v>145</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70.135426622814052</v>
      </c>
      <c r="C35" s="11">
        <v>63.208604465682832</v>
      </c>
      <c r="D35" s="11">
        <v>-6.9268221571311859</v>
      </c>
      <c r="E35" s="12" t="str">
        <f>IF(       0.038&lt;0.01,"***",IF(       0.038&lt;0.05,"**",IF(       0.038&lt;0.1,"*","NS")))</f>
        <v>**</v>
      </c>
      <c r="G35" s="15" t="s">
        <v>5</v>
      </c>
      <c r="H35" s="11">
        <v>70.135426622814052</v>
      </c>
      <c r="I35" s="11">
        <v>62.17128105047118</v>
      </c>
      <c r="J35" s="11">
        <v>-7.9641455723431429</v>
      </c>
      <c r="K35" s="12" t="str">
        <f>IF(       0.073&lt;0.01,"***",IF(       0.073&lt;0.05,"**",IF(       0.073&lt;0.1,"*","NS")))</f>
        <v>*</v>
      </c>
      <c r="L35" s="11">
        <v>64.924180047386642</v>
      </c>
      <c r="M35" s="11">
        <v>-5.2112465754274071</v>
      </c>
      <c r="N35" s="12" t="str">
        <f>IF(       0.302&lt;0.01,"***",IF(       0.302&lt;0.05,"**",IF(       0.302&lt;0.1,"*","NS")))</f>
        <v>NS</v>
      </c>
      <c r="P35" s="15" t="s">
        <v>5</v>
      </c>
      <c r="Q35" s="11">
        <v>69.370385660321048</v>
      </c>
      <c r="R35" s="11">
        <v>64.924180047386642</v>
      </c>
      <c r="S35" s="11">
        <v>-4.4462056129344063</v>
      </c>
      <c r="T35" s="12" t="str">
        <f>IF(       0.382&lt;0.01,"***",IF(       0.382&lt;0.05,"**",IF(       0.382&lt;0.1,"*","NS")))</f>
        <v>NS</v>
      </c>
    </row>
    <row r="36" spans="1:20" ht="15.75" customHeight="1">
      <c r="A36" s="15" t="s">
        <v>6</v>
      </c>
      <c r="B36" s="11">
        <v>98.544401548282053</v>
      </c>
      <c r="C36" s="11">
        <v>98.799097399138162</v>
      </c>
      <c r="D36" s="11">
        <v>0.25469585085611002</v>
      </c>
      <c r="E36" s="12" t="str">
        <f>IF(       0.306&lt;0.01,"***",IF(       0.306&lt;0.05,"**",IF(       0.306&lt;0.1,"*","NS")))</f>
        <v>NS</v>
      </c>
      <c r="G36" s="15" t="s">
        <v>6</v>
      </c>
      <c r="H36" s="11">
        <v>98.544401548282053</v>
      </c>
      <c r="I36" s="11">
        <v>98.442638505609423</v>
      </c>
      <c r="J36" s="11">
        <v>-0.10176304267262795</v>
      </c>
      <c r="K36" s="12" t="str">
        <f>IF(       0.709&lt;0.01,"***",IF(       0.709&lt;0.05,"**",IF(       0.709&lt;0.1,"*","NS")))</f>
        <v>NS</v>
      </c>
      <c r="L36" s="11">
        <v>100</v>
      </c>
      <c r="M36" s="11">
        <v>1.4555984517179621</v>
      </c>
      <c r="N36" s="12" t="str">
        <f>IF(       0.088&lt;0.01,"***",IF(       0.088&lt;0.05,"**",IF(       0.088&lt;0.1,"*","NS")))</f>
        <v>*</v>
      </c>
      <c r="P36" s="15" t="s">
        <v>6</v>
      </c>
      <c r="Q36" s="11">
        <v>98.533918347079364</v>
      </c>
      <c r="R36" s="11">
        <v>100</v>
      </c>
      <c r="S36" s="11">
        <v>1.4660816529206324</v>
      </c>
      <c r="T36" s="12" t="str">
        <f>IF(       0.09&lt;0.01,"***",IF(       0.09&lt;0.05,"**",IF(       0.09&lt;0.1,"*","NS")))</f>
        <v>*</v>
      </c>
    </row>
    <row r="37" spans="1:20" ht="15.75" customHeight="1">
      <c r="A37" s="15" t="s">
        <v>7</v>
      </c>
      <c r="B37" s="11">
        <v>99.320830854423633</v>
      </c>
      <c r="C37" s="11">
        <v>97.834335892949142</v>
      </c>
      <c r="D37" s="11">
        <v>-1.4864949614744647</v>
      </c>
      <c r="E37" s="12" t="str">
        <f>IF(       0.338&lt;0.01,"***",IF(       0.338&lt;0.05,"**",IF(       0.338&lt;0.1,"*","NS")))</f>
        <v>NS</v>
      </c>
      <c r="G37" s="15" t="s">
        <v>7</v>
      </c>
      <c r="H37" s="11">
        <v>99.320830854423633</v>
      </c>
      <c r="I37" s="11">
        <v>98.362130433380287</v>
      </c>
      <c r="J37" s="11">
        <v>-0.95870042104335385</v>
      </c>
      <c r="K37" s="12" t="str">
        <f>IF(       0.331&lt;0.01,"***",IF(       0.331&lt;0.05,"**",IF(       0.331&lt;0.1,"*","NS")))</f>
        <v>NS</v>
      </c>
      <c r="L37" s="11">
        <v>96.570662187559734</v>
      </c>
      <c r="M37" s="11">
        <v>-2.7501686668639116</v>
      </c>
      <c r="N37" s="12" t="str">
        <f>IF(       0.344&lt;0.01,"***",IF(       0.344&lt;0.05,"**",IF(       0.344&lt;0.1,"*","NS")))</f>
        <v>NS</v>
      </c>
      <c r="P37" s="15" t="s">
        <v>7</v>
      </c>
      <c r="Q37" s="11">
        <v>99.207053126958712</v>
      </c>
      <c r="R37" s="11">
        <v>96.570662187559734</v>
      </c>
      <c r="S37" s="11">
        <v>-2.6363909393990745</v>
      </c>
      <c r="T37" s="12" t="str">
        <f>IF(       0.345&lt;0.01,"***",IF(       0.345&lt;0.05,"**",IF(       0.345&lt;0.1,"*","NS")))</f>
        <v>NS</v>
      </c>
    </row>
    <row r="38" spans="1:20" ht="15.75" customHeight="1">
      <c r="A38" s="15" t="s">
        <v>8</v>
      </c>
      <c r="B38" s="11">
        <v>58.294993361884544</v>
      </c>
      <c r="C38" s="11">
        <v>64.651693693785788</v>
      </c>
      <c r="D38" s="11">
        <v>6.3567003319012167</v>
      </c>
      <c r="E38" s="12" t="str">
        <f>IF(       0.119&lt;0.01,"***",IF(       0.119&lt;0.05,"**",IF(       0.119&lt;0.1,"*","NS")))</f>
        <v>NS</v>
      </c>
      <c r="G38" s="15" t="s">
        <v>8</v>
      </c>
      <c r="H38" s="11">
        <v>58.294993361884544</v>
      </c>
      <c r="I38" s="11">
        <v>66.80778623221417</v>
      </c>
      <c r="J38" s="11">
        <v>8.5127928703296298</v>
      </c>
      <c r="K38" s="12" t="str">
        <f>IF(       0.062&lt;0.01,"***",IF(       0.062&lt;0.05,"**",IF(       0.062&lt;0.1,"*","NS")))</f>
        <v>*</v>
      </c>
      <c r="L38" s="11">
        <v>59.643438818684658</v>
      </c>
      <c r="M38" s="11">
        <v>1.3484454568000677</v>
      </c>
      <c r="N38" s="12" t="str">
        <f>IF(       0.823&lt;0.01,"***",IF(       0.823&lt;0.05,"**",IF(       0.823&lt;0.1,"*","NS")))</f>
        <v>NS</v>
      </c>
      <c r="P38" s="15" t="s">
        <v>8</v>
      </c>
      <c r="Q38" s="11">
        <v>59.036785935557774</v>
      </c>
      <c r="R38" s="11">
        <v>59.643438818684658</v>
      </c>
      <c r="S38" s="11">
        <v>0.60665288312683696</v>
      </c>
      <c r="T38" s="12" t="str">
        <f>IF(       0.918&lt;0.01,"***",IF(       0.918&lt;0.05,"**",IF(       0.918&lt;0.1,"*","NS")))</f>
        <v>NS</v>
      </c>
    </row>
    <row r="39" spans="1:20" ht="15.75" customHeight="1">
      <c r="A39" s="15" t="s">
        <v>10</v>
      </c>
      <c r="B39" s="11">
        <v>91.633049519328509</v>
      </c>
      <c r="C39" s="11">
        <v>91.39131332811543</v>
      </c>
      <c r="D39" s="11">
        <v>-0.24173619121306258</v>
      </c>
      <c r="E39" s="12" t="str">
        <f>IF(       0.844&lt;0.01,"***",IF(       0.844&lt;0.05,"**",IF(       0.844&lt;0.1,"*","NS")))</f>
        <v>NS</v>
      </c>
      <c r="G39" s="15" t="s">
        <v>10</v>
      </c>
      <c r="H39" s="11">
        <v>91.633049519328509</v>
      </c>
      <c r="I39" s="11">
        <v>92.256927769569046</v>
      </c>
      <c r="J39" s="11">
        <v>0.62387825024056154</v>
      </c>
      <c r="K39" s="12" t="str">
        <f>IF(       0.568&lt;0.01,"***",IF(       0.568&lt;0.05,"**",IF(       0.568&lt;0.1,"*","NS")))</f>
        <v>NS</v>
      </c>
      <c r="L39" s="11">
        <v>89.358670201816167</v>
      </c>
      <c r="M39" s="11">
        <v>-2.2743793175124019</v>
      </c>
      <c r="N39" s="12" t="str">
        <f>IF(       0.302&lt;0.01,"***",IF(       0.302&lt;0.05,"**",IF(       0.302&lt;0.1,"*","NS")))</f>
        <v>NS</v>
      </c>
      <c r="P39" s="15" t="s">
        <v>10</v>
      </c>
      <c r="Q39" s="11">
        <v>91.702456279380399</v>
      </c>
      <c r="R39" s="11">
        <v>89.358670201816167</v>
      </c>
      <c r="S39" s="11">
        <v>-2.3437860775642601</v>
      </c>
      <c r="T39" s="12" t="str">
        <f>IF(       0.276&lt;0.01,"***",IF(       0.276&lt;0.05,"**",IF(       0.276&lt;0.1,"*","NS")))</f>
        <v>NS</v>
      </c>
    </row>
    <row r="40" spans="1:20" ht="15.75" customHeight="1"/>
    <row r="41" spans="1:20" ht="15.75" customHeight="1">
      <c r="A41" s="15" t="s">
        <v>146</v>
      </c>
      <c r="G41" s="15" t="s">
        <v>147</v>
      </c>
      <c r="P41" s="15" t="s">
        <v>148</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73.422793097762394</v>
      </c>
      <c r="C43" s="11">
        <v>70.68280276566523</v>
      </c>
      <c r="D43" s="11">
        <v>-2.7399903320972134</v>
      </c>
      <c r="E43" s="12" t="str">
        <f>IF(       0.369&lt;0.01,"***",IF(       0.369&lt;0.05,"**",IF(       0.369&lt;0.1,"*","NS")))</f>
        <v>NS</v>
      </c>
      <c r="G43" s="15" t="s">
        <v>5</v>
      </c>
      <c r="H43" s="11">
        <v>73.422793097762394</v>
      </c>
      <c r="I43" s="11">
        <v>68.690887183061676</v>
      </c>
      <c r="J43" s="11">
        <v>-4.7319059147007154</v>
      </c>
      <c r="K43" s="12" t="str">
        <f>IF(       0.162&lt;0.01,"***",IF(       0.162&lt;0.05,"**",IF(       0.162&lt;0.1,"*","NS")))</f>
        <v>NS</v>
      </c>
      <c r="L43" s="11">
        <v>73.697018703575495</v>
      </c>
      <c r="M43" s="11">
        <v>0.27422560581317718</v>
      </c>
      <c r="N43" s="12" t="str">
        <f>IF(       0.967&lt;0.01,"***",IF(       0.967&lt;0.05,"**",IF(       0.967&lt;0.1,"*","NS")))</f>
        <v>NS</v>
      </c>
      <c r="P43" s="15" t="s">
        <v>5</v>
      </c>
      <c r="Q43" s="11">
        <v>73.260352030040508</v>
      </c>
      <c r="R43" s="11">
        <v>73.697018703575495</v>
      </c>
      <c r="S43" s="11">
        <v>0.43666667353500271</v>
      </c>
      <c r="T43" s="12" t="str">
        <f>IF(       0.917&lt;0.01,"***",IF(       0.917&lt;0.05,"**",IF(       0.917&lt;0.1,"*","NS")))</f>
        <v>NS</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98.20048025691483</v>
      </c>
      <c r="C45" s="11">
        <v>97.248578244899235</v>
      </c>
      <c r="D45" s="11">
        <v>-0.95190201201560143</v>
      </c>
      <c r="E45" s="12" t="str">
        <f>IF(       0.393&lt;0.01,"***",IF(       0.393&lt;0.05,"**",IF(       0.393&lt;0.1,"*","NS")))</f>
        <v>NS</v>
      </c>
      <c r="G45" s="15" t="s">
        <v>7</v>
      </c>
      <c r="H45" s="11">
        <v>98.20048025691483</v>
      </c>
      <c r="I45" s="11">
        <v>97.751646473642253</v>
      </c>
      <c r="J45" s="11">
        <v>-0.44883378327259266</v>
      </c>
      <c r="K45" s="12" t="str">
        <f>IF(       0.498&lt;0.01,"***",IF(       0.498&lt;0.05,"**",IF(       0.498&lt;0.1,"*","NS")))</f>
        <v>NS</v>
      </c>
      <c r="L45" s="11">
        <v>95.394462619916894</v>
      </c>
      <c r="M45" s="11">
        <v>-2.806017636997844</v>
      </c>
      <c r="N45" s="12" t="str">
        <f>IF(       0.563&lt;0.01,"***",IF(       0.563&lt;0.05,"**",IF(       0.563&lt;0.1,"*","NS")))</f>
        <v>NS</v>
      </c>
      <c r="P45" s="15" t="s">
        <v>7</v>
      </c>
      <c r="Q45" s="11">
        <v>98.169903673671826</v>
      </c>
      <c r="R45" s="11">
        <v>95.394462619916894</v>
      </c>
      <c r="S45" s="11">
        <v>-2.7754410537548035</v>
      </c>
      <c r="T45" s="12" t="str">
        <f>IF(       0.359&lt;0.01,"***",IF(       0.359&lt;0.05,"**",IF(       0.359&lt;0.1,"*","NS")))</f>
        <v>NS</v>
      </c>
    </row>
    <row r="46" spans="1:20" ht="15.75" customHeight="1">
      <c r="A46" s="15" t="s">
        <v>8</v>
      </c>
      <c r="B46" s="11">
        <v>41.723079552195571</v>
      </c>
      <c r="C46" s="11">
        <v>43.275349014985537</v>
      </c>
      <c r="D46" s="11">
        <v>1.5522694627900575</v>
      </c>
      <c r="E46" s="12" t="str">
        <f>IF(       0.698&lt;0.01,"***",IF(       0.698&lt;0.05,"**",IF(       0.698&lt;0.1,"*","NS")))</f>
        <v>NS</v>
      </c>
      <c r="G46" s="15" t="s">
        <v>8</v>
      </c>
      <c r="H46" s="11">
        <v>41.723079552195571</v>
      </c>
      <c r="I46" s="11">
        <v>44.30298299830234</v>
      </c>
      <c r="J46" s="11">
        <v>2.5799034461067403</v>
      </c>
      <c r="K46" s="12" t="str">
        <f>IF(       0.529&lt;0.01,"***",IF(       0.529&lt;0.05,"**",IF(       0.529&lt;0.1,"*","NS")))</f>
        <v>NS</v>
      </c>
      <c r="L46" s="11">
        <v>39.599167616174412</v>
      </c>
      <c r="M46" s="11">
        <v>-2.1239119360211043</v>
      </c>
      <c r="N46" s="12" t="str">
        <f>IF(       0.359&lt;0.01,"***",IF(       0.359&lt;0.05,"**",IF(       0.359&lt;0.1,"*","NS")))</f>
        <v>NS</v>
      </c>
      <c r="P46" s="15" t="s">
        <v>8</v>
      </c>
      <c r="Q46" s="11">
        <v>41.84348011533578</v>
      </c>
      <c r="R46" s="11">
        <v>39.599167616174412</v>
      </c>
      <c r="S46" s="11">
        <v>-2.2443124991613539</v>
      </c>
      <c r="T46" s="12" t="str">
        <f>IF(       0.79&lt;0.01,"***",IF(       0.79&lt;0.05,"**",IF(       0.79&lt;0.1,"*","NS")))</f>
        <v>NS</v>
      </c>
    </row>
    <row r="47" spans="1:20" ht="15.75" customHeight="1">
      <c r="A47" s="15" t="s">
        <v>10</v>
      </c>
      <c r="B47" s="11">
        <v>81.518472423600429</v>
      </c>
      <c r="C47" s="11">
        <v>83.457380020254917</v>
      </c>
      <c r="D47" s="11">
        <v>1.938907596654567</v>
      </c>
      <c r="E47" s="12" t="str">
        <f>IF(       0.206&lt;0.01,"***",IF(       0.206&lt;0.05,"**",IF(       0.206&lt;0.1,"*","NS")))</f>
        <v>NS</v>
      </c>
      <c r="G47" s="15" t="s">
        <v>10</v>
      </c>
      <c r="H47" s="11">
        <v>81.518472423600429</v>
      </c>
      <c r="I47" s="11">
        <v>84.402136416126979</v>
      </c>
      <c r="J47" s="11">
        <v>2.8836639925265026</v>
      </c>
      <c r="K47" s="12" t="str">
        <f>IF(       0.07&lt;0.01,"***",IF(       0.07&lt;0.05,"**",IF(       0.07&lt;0.1,"*","NS")))</f>
        <v>*</v>
      </c>
      <c r="L47" s="11">
        <v>80.815498362294434</v>
      </c>
      <c r="M47" s="11">
        <v>-0.70297406130609374</v>
      </c>
      <c r="N47" s="12" t="str">
        <f>IF(       0.776&lt;0.01,"***",IF(       0.776&lt;0.05,"**",IF(       0.776&lt;0.1,"*","NS")))</f>
        <v>NS</v>
      </c>
      <c r="P47" s="15" t="s">
        <v>10</v>
      </c>
      <c r="Q47" s="11">
        <v>81.664241296280025</v>
      </c>
      <c r="R47" s="11">
        <v>80.815498362294434</v>
      </c>
      <c r="S47" s="11">
        <v>-0.84874293398556078</v>
      </c>
      <c r="T47" s="12" t="str">
        <f>IF(       0.728&lt;0.01,"***",IF(       0.728&lt;0.05,"**",IF(       0.728&lt;0.1,"*","NS")))</f>
        <v>NS</v>
      </c>
    </row>
    <row r="48" spans="1:20" ht="15.75" customHeight="1"/>
    <row r="49" spans="1:20" ht="15.75" customHeight="1">
      <c r="A49" s="15" t="s">
        <v>149</v>
      </c>
      <c r="G49" s="15" t="s">
        <v>150</v>
      </c>
      <c r="P49" s="15" t="s">
        <v>151</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74.394075485026903</v>
      </c>
      <c r="C51" s="11">
        <v>72.170095369467134</v>
      </c>
      <c r="D51" s="11">
        <v>-2.2239801155597481</v>
      </c>
      <c r="E51" s="12" t="str">
        <f>IF(       0.408&lt;0.01,"***",IF(       0.408&lt;0.05,"**",IF(       0.408&lt;0.1,"*","NS")))</f>
        <v>NS</v>
      </c>
      <c r="G51" s="15" t="s">
        <v>5</v>
      </c>
      <c r="H51" s="11">
        <v>74.394075485026903</v>
      </c>
      <c r="I51" s="11">
        <v>72.071133101659001</v>
      </c>
      <c r="J51" s="11">
        <v>-2.3229423833679164</v>
      </c>
      <c r="K51" s="12" t="str">
        <f>IF(       0.448&lt;0.01,"***",IF(       0.448&lt;0.05,"**",IF(       0.448&lt;0.1,"*","NS")))</f>
        <v>NS</v>
      </c>
      <c r="L51" s="11">
        <v>72.319758793676826</v>
      </c>
      <c r="M51" s="11">
        <v>-2.0743166913500866</v>
      </c>
      <c r="N51" s="12" t="str">
        <f>IF(       0.62&lt;0.01,"***",IF(       0.62&lt;0.05,"**",IF(       0.62&lt;0.1,"*","NS")))</f>
        <v>NS</v>
      </c>
      <c r="P51" s="15" t="s">
        <v>5</v>
      </c>
      <c r="Q51" s="11">
        <v>73.816298173972712</v>
      </c>
      <c r="R51" s="11">
        <v>72.319758793676826</v>
      </c>
      <c r="S51" s="11">
        <v>-1.4965393802958589</v>
      </c>
      <c r="T51" s="12" t="str">
        <f>IF(       0.717&lt;0.01,"***",IF(       0.717&lt;0.05,"**",IF(       0.717&lt;0.1,"*","NS")))</f>
        <v>NS</v>
      </c>
    </row>
    <row r="52" spans="1:20" ht="15.75" customHeight="1">
      <c r="A52" s="15" t="s">
        <v>6</v>
      </c>
      <c r="B52" s="11">
        <v>88.475875240057633</v>
      </c>
      <c r="C52" s="11">
        <v>89.436869123852119</v>
      </c>
      <c r="D52" s="11">
        <v>0.96099388379448036</v>
      </c>
      <c r="E52" s="12" t="str">
        <f>IF(       0.534&lt;0.01,"***",IF(       0.534&lt;0.05,"**",IF(       0.534&lt;0.1,"*","NS")))</f>
        <v>NS</v>
      </c>
      <c r="G52" s="15" t="s">
        <v>6</v>
      </c>
      <c r="H52" s="11">
        <v>88.475875240057633</v>
      </c>
      <c r="I52" s="11">
        <v>90.944419731483805</v>
      </c>
      <c r="J52" s="11">
        <v>2.4685444914261225</v>
      </c>
      <c r="K52" s="12" t="str">
        <f>IF(       0.194&lt;0.01,"***",IF(       0.194&lt;0.05,"**",IF(       0.194&lt;0.1,"*","NS")))</f>
        <v>NS</v>
      </c>
      <c r="L52" s="11">
        <v>85.793189289774048</v>
      </c>
      <c r="M52" s="11">
        <v>-2.6826859502835387</v>
      </c>
      <c r="N52" s="12" t="str">
        <f>IF(       0.268&lt;0.01,"***",IF(       0.268&lt;0.05,"**",IF(       0.268&lt;0.1,"*","NS")))</f>
        <v>NS</v>
      </c>
      <c r="P52" s="15" t="s">
        <v>6</v>
      </c>
      <c r="Q52" s="11">
        <v>89.053786201811249</v>
      </c>
      <c r="R52" s="11">
        <v>85.793189289774048</v>
      </c>
      <c r="S52" s="11">
        <v>-3.2605969120372293</v>
      </c>
      <c r="T52" s="12" t="str">
        <f>IF(       0.182&lt;0.01,"***",IF(       0.182&lt;0.05,"**",IF(       0.182&lt;0.1,"*","NS")))</f>
        <v>NS</v>
      </c>
    </row>
    <row r="53" spans="1:20" ht="15.75" customHeight="1">
      <c r="A53" s="15" t="s">
        <v>7</v>
      </c>
      <c r="B53" s="11">
        <v>98.902620071985965</v>
      </c>
      <c r="C53" s="11">
        <v>96.629486101094926</v>
      </c>
      <c r="D53" s="11">
        <v>-2.2731339708910743</v>
      </c>
      <c r="E53" s="12" t="str">
        <f>IF(       0.193&lt;0.01,"***",IF(       0.193&lt;0.05,"**",IF(       0.193&lt;0.1,"*","NS")))</f>
        <v>NS</v>
      </c>
      <c r="G53" s="15" t="s">
        <v>7</v>
      </c>
      <c r="H53" s="11">
        <v>98.902620071985965</v>
      </c>
      <c r="I53" s="11">
        <v>96.937092238803913</v>
      </c>
      <c r="J53" s="11">
        <v>-1.9655278331820425</v>
      </c>
      <c r="K53" s="12" t="str">
        <f>IF(       0.165&lt;0.01,"***",IF(       0.165&lt;0.05,"**",IF(       0.165&lt;0.1,"*","NS")))</f>
        <v>NS</v>
      </c>
      <c r="L53" s="11">
        <v>96.08116771505756</v>
      </c>
      <c r="M53" s="11">
        <v>-2.8214523569283965</v>
      </c>
      <c r="N53" s="12" t="str">
        <f>IF(       0.245&lt;0.01,"***",IF(       0.245&lt;0.05,"**",IF(       0.245&lt;0.1,"*","NS")))</f>
        <v>NS</v>
      </c>
      <c r="P53" s="15" t="s">
        <v>7</v>
      </c>
      <c r="Q53" s="11">
        <v>98.404128579374031</v>
      </c>
      <c r="R53" s="11">
        <v>96.08116771505756</v>
      </c>
      <c r="S53" s="11">
        <v>-2.3229608643165012</v>
      </c>
      <c r="T53" s="12" t="str">
        <f>IF(       0.266&lt;0.01,"***",IF(       0.266&lt;0.05,"**",IF(       0.266&lt;0.1,"*","NS")))</f>
        <v>NS</v>
      </c>
    </row>
    <row r="54" spans="1:20" ht="15.75" customHeight="1">
      <c r="A54" s="15" t="s">
        <v>8</v>
      </c>
      <c r="B54" s="11">
        <v>39.960212778627557</v>
      </c>
      <c r="C54" s="11">
        <v>43.828303859009409</v>
      </c>
      <c r="D54" s="11">
        <v>3.8680910803819111</v>
      </c>
      <c r="E54" s="12" t="str">
        <f>IF(       0.192&lt;0.01,"***",IF(       0.192&lt;0.05,"**",IF(       0.192&lt;0.1,"*","NS")))</f>
        <v>NS</v>
      </c>
      <c r="G54" s="15" t="s">
        <v>8</v>
      </c>
      <c r="H54" s="11">
        <v>39.960212778627557</v>
      </c>
      <c r="I54" s="11">
        <v>44.627066697601663</v>
      </c>
      <c r="J54" s="11">
        <v>4.666853918974061</v>
      </c>
      <c r="K54" s="12" t="str">
        <f>IF(       0.193&lt;0.01,"***",IF(       0.193&lt;0.05,"**",IF(       0.193&lt;0.1,"*","NS")))</f>
        <v>NS</v>
      </c>
      <c r="L54" s="11">
        <v>42.227086457855727</v>
      </c>
      <c r="M54" s="11">
        <v>2.2668736792281297</v>
      </c>
      <c r="N54" s="12" t="str">
        <f>IF(       0.59&lt;0.01,"***",IF(       0.59&lt;0.05,"**",IF(       0.59&lt;0.1,"*","NS")))</f>
        <v>NS</v>
      </c>
      <c r="P54" s="15" t="s">
        <v>8</v>
      </c>
      <c r="Q54" s="11">
        <v>40.865631223585147</v>
      </c>
      <c r="R54" s="11">
        <v>42.227086457855727</v>
      </c>
      <c r="S54" s="11">
        <v>1.3614552342706074</v>
      </c>
      <c r="T54" s="12" t="str">
        <f>IF(       0.743&lt;0.01,"***",IF(       0.743&lt;0.05,"**",IF(       0.743&lt;0.1,"*","NS")))</f>
        <v>NS</v>
      </c>
    </row>
    <row r="55" spans="1:20" ht="15.75" customHeight="1">
      <c r="A55" s="15" t="s">
        <v>10</v>
      </c>
      <c r="B55" s="11">
        <v>80.114537041003345</v>
      </c>
      <c r="C55" s="11">
        <v>81.20840090521169</v>
      </c>
      <c r="D55" s="11">
        <v>1.0938638642083438</v>
      </c>
      <c r="E55" s="12" t="str">
        <f>IF(       0.376&lt;0.01,"***",IF(       0.376&lt;0.05,"**",IF(       0.376&lt;0.1,"*","NS")))</f>
        <v>NS</v>
      </c>
      <c r="G55" s="15" t="s">
        <v>10</v>
      </c>
      <c r="H55" s="11">
        <v>80.114537041003345</v>
      </c>
      <c r="I55" s="11">
        <v>81.768162394394139</v>
      </c>
      <c r="J55" s="11">
        <v>1.6536253533907745</v>
      </c>
      <c r="K55" s="12" t="str">
        <f>IF(       0.224&lt;0.01,"***",IF(       0.224&lt;0.05,"**",IF(       0.224&lt;0.1,"*","NS")))</f>
        <v>NS</v>
      </c>
      <c r="L55" s="11">
        <v>80.202956329972466</v>
      </c>
      <c r="M55" s="11">
        <v>8.8419288969113663E-2</v>
      </c>
      <c r="N55" s="12" t="str">
        <f>IF(       0.967&lt;0.01,"***",IF(       0.967&lt;0.05,"**",IF(       0.967&lt;0.1,"*","NS")))</f>
        <v>NS</v>
      </c>
      <c r="P55" s="15" t="s">
        <v>10</v>
      </c>
      <c r="Q55" s="11">
        <v>80.509913122645216</v>
      </c>
      <c r="R55" s="11">
        <v>80.202956329972466</v>
      </c>
      <c r="S55" s="11">
        <v>-0.30695679267278181</v>
      </c>
      <c r="T55" s="12" t="str">
        <f>IF(       0.886&lt;0.01,"***",IF(       0.886&lt;0.05,"**",IF(       0.886&lt;0.1,"*","NS")))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152</v>
      </c>
      <c r="G1" s="15" t="s">
        <v>153</v>
      </c>
      <c r="P1" s="15" t="s">
        <v>154</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60.826326521431227</v>
      </c>
      <c r="C3" s="11">
        <v>61.235619650888317</v>
      </c>
      <c r="D3" s="11">
        <v>0.40929312945710294</v>
      </c>
      <c r="E3" s="12" t="str">
        <f>IF(       0.841&lt;0.01,"***",IF(       0.841&lt;0.05,"**",IF(       0.841&lt;0.1,"*","NS")))</f>
        <v>NS</v>
      </c>
      <c r="G3" s="15" t="s">
        <v>5</v>
      </c>
      <c r="H3" s="11">
        <v>60.826326521431227</v>
      </c>
      <c r="I3" s="11">
        <v>61.457070862419251</v>
      </c>
      <c r="J3" s="11">
        <v>0.63074434098804122</v>
      </c>
      <c r="K3" s="12" t="str">
        <f>IF(       0.775&lt;0.01,"***",IF(       0.775&lt;0.05,"**",IF(       0.775&lt;0.1,"*","NS")))</f>
        <v>NS</v>
      </c>
      <c r="L3" s="11">
        <v>60.900658200929861</v>
      </c>
      <c r="M3" s="11">
        <v>7.4331679498632633E-2</v>
      </c>
      <c r="N3" s="12" t="str">
        <f>IF(       0.984&lt;0.01,"***",IF(       0.984&lt;0.05,"**",IF(       0.984&lt;0.1,"*","NS")))</f>
        <v>NS</v>
      </c>
      <c r="P3" s="15" t="s">
        <v>5</v>
      </c>
      <c r="Q3" s="11">
        <v>60.884077753387992</v>
      </c>
      <c r="R3" s="11">
        <v>60.900658200929861</v>
      </c>
      <c r="S3" s="11">
        <v>1.6580447541814272E-2</v>
      </c>
      <c r="T3" s="12" t="str">
        <f>IF(       0.996&lt;0.01,"***",IF(       0.996&lt;0.05,"**",IF(       0.996&lt;0.1,"*","NS")))</f>
        <v>NS</v>
      </c>
    </row>
    <row r="4" spans="1:20">
      <c r="A4" s="15" t="s">
        <v>6</v>
      </c>
      <c r="B4" s="11">
        <v>61.101478910070007</v>
      </c>
      <c r="C4" s="11">
        <v>63.375977643944204</v>
      </c>
      <c r="D4" s="11">
        <v>2.2744987338741791</v>
      </c>
      <c r="E4" s="12" t="str">
        <f>IF(       0.499&lt;0.01,"***",IF(       0.499&lt;0.05,"**",IF(       0.499&lt;0.1,"*","NS")))</f>
        <v>NS</v>
      </c>
      <c r="G4" s="15" t="s">
        <v>6</v>
      </c>
      <c r="H4" s="11">
        <v>61.101478910070007</v>
      </c>
      <c r="I4" s="11">
        <v>62.788857698782941</v>
      </c>
      <c r="J4" s="11">
        <v>1.6873787887129121</v>
      </c>
      <c r="K4" s="12" t="str">
        <f>IF(       0.623&lt;0.01,"***",IF(       0.623&lt;0.05,"**",IF(       0.623&lt;0.1,"*","NS")))</f>
        <v>NS</v>
      </c>
      <c r="L4" s="11">
        <v>64.873607439572993</v>
      </c>
      <c r="M4" s="11">
        <v>3.7721285295029197</v>
      </c>
      <c r="N4" s="12" t="str">
        <f>IF(       0.482&lt;0.01,"***",IF(       0.482&lt;0.05,"**",IF(       0.482&lt;0.1,"*","NS")))</f>
        <v>NS</v>
      </c>
      <c r="P4" s="15" t="s">
        <v>6</v>
      </c>
      <c r="Q4" s="11">
        <v>61.26024129763357</v>
      </c>
      <c r="R4" s="11">
        <v>64.873607439572993</v>
      </c>
      <c r="S4" s="11">
        <v>3.613366141939466</v>
      </c>
      <c r="T4" s="12" t="str">
        <f>IF(       0.492&lt;0.01,"***",IF(       0.492&lt;0.05,"**",IF(       0.492&lt;0.1,"*","NS")))</f>
        <v>NS</v>
      </c>
    </row>
    <row r="5" spans="1:20">
      <c r="A5" s="15" t="s">
        <v>7</v>
      </c>
      <c r="B5" s="11">
        <v>73.475036492357347</v>
      </c>
      <c r="C5" s="11">
        <v>76.279012048200812</v>
      </c>
      <c r="D5" s="11">
        <v>2.8039755558434996</v>
      </c>
      <c r="E5" s="12" t="str">
        <f>IF(       0.283&lt;0.01,"***",IF(       0.283&lt;0.05,"**",IF(       0.283&lt;0.1,"*","NS")))</f>
        <v>NS</v>
      </c>
      <c r="G5" s="15" t="s">
        <v>7</v>
      </c>
      <c r="H5" s="11">
        <v>73.475036492357347</v>
      </c>
      <c r="I5" s="11">
        <v>75.142300609865558</v>
      </c>
      <c r="J5" s="11">
        <v>1.667264117508243</v>
      </c>
      <c r="K5" s="12" t="str">
        <f>IF(       0.605&lt;0.01,"***",IF(       0.605&lt;0.05,"**",IF(       0.605&lt;0.1,"*","NS")))</f>
        <v>NS</v>
      </c>
      <c r="L5" s="11">
        <v>78.877570304507657</v>
      </c>
      <c r="M5" s="11">
        <v>5.4025338121503124</v>
      </c>
      <c r="N5" s="12" t="str">
        <f>IF(       0.177&lt;0.01,"***",IF(       0.177&lt;0.05,"**",IF(       0.177&lt;0.1,"*","NS")))</f>
        <v>NS</v>
      </c>
      <c r="P5" s="15" t="s">
        <v>7</v>
      </c>
      <c r="Q5" s="11">
        <v>73.670669812040742</v>
      </c>
      <c r="R5" s="11">
        <v>78.877570304507657</v>
      </c>
      <c r="S5" s="11">
        <v>5.2069004924667608</v>
      </c>
      <c r="T5" s="12" t="str">
        <f>IF(       0.193&lt;0.01,"***",IF(       0.193&lt;0.05,"**",IF(       0.193&lt;0.1,"*","NS")))</f>
        <v>NS</v>
      </c>
    </row>
    <row r="6" spans="1:20">
      <c r="A6" s="15" t="s">
        <v>8</v>
      </c>
      <c r="B6" s="11">
        <v>46.440679616280242</v>
      </c>
      <c r="C6" s="11">
        <v>46.119616631948958</v>
      </c>
      <c r="D6" s="11">
        <v>-0.32106298433128228</v>
      </c>
      <c r="E6" s="12" t="str">
        <f>IF(       0.882&lt;0.01,"***",IF(       0.882&lt;0.05,"**",IF(       0.882&lt;0.1,"*","NS")))</f>
        <v>NS</v>
      </c>
      <c r="G6" s="15" t="s">
        <v>8</v>
      </c>
      <c r="H6" s="11">
        <v>46.440679616280242</v>
      </c>
      <c r="I6" s="11">
        <v>45.289545961769427</v>
      </c>
      <c r="J6" s="11">
        <v>-1.1511336545108395</v>
      </c>
      <c r="K6" s="12" t="str">
        <f>IF(       0.677&lt;0.01,"***",IF(       0.677&lt;0.05,"**",IF(       0.677&lt;0.1,"*","NS")))</f>
        <v>NS</v>
      </c>
      <c r="L6" s="11">
        <v>48.096330009501287</v>
      </c>
      <c r="M6" s="11">
        <v>1.6556503932210986</v>
      </c>
      <c r="N6" s="12" t="str">
        <f>IF(       0.703&lt;0.01,"***",IF(       0.703&lt;0.05,"**",IF(       0.703&lt;0.1,"*","NS")))</f>
        <v>NS</v>
      </c>
      <c r="P6" s="15" t="s">
        <v>8</v>
      </c>
      <c r="Q6" s="11">
        <v>46.336132136181071</v>
      </c>
      <c r="R6" s="11">
        <v>48.096330009501287</v>
      </c>
      <c r="S6" s="11">
        <v>1.7601978733202275</v>
      </c>
      <c r="T6" s="12" t="str">
        <f>IF(       0.689&lt;0.01,"***",IF(       0.689&lt;0.05,"**",IF(       0.689&lt;0.1,"*","NS")))</f>
        <v>NS</v>
      </c>
    </row>
    <row r="7" spans="1:20">
      <c r="A7" s="15" t="s">
        <v>10</v>
      </c>
      <c r="B7" s="11">
        <v>63.62514483563961</v>
      </c>
      <c r="C7" s="11">
        <v>66.261901196614488</v>
      </c>
      <c r="D7" s="11">
        <v>2.6367563609747515</v>
      </c>
      <c r="E7" s="12" t="str">
        <f>IF(       0.066&lt;0.01,"***",IF(       0.066&lt;0.05,"**",IF(       0.066&lt;0.1,"*","NS")))</f>
        <v>*</v>
      </c>
      <c r="G7" s="15" t="s">
        <v>10</v>
      </c>
      <c r="H7" s="11">
        <v>63.62514483563961</v>
      </c>
      <c r="I7" s="11">
        <v>65.750692697783322</v>
      </c>
      <c r="J7" s="11">
        <v>2.1255478621437192</v>
      </c>
      <c r="K7" s="12" t="str">
        <f>IF(       0.231&lt;0.01,"***",IF(       0.231&lt;0.05,"**",IF(       0.231&lt;0.1,"*","NS")))</f>
        <v>NS</v>
      </c>
      <c r="L7" s="11">
        <v>67.315709344403786</v>
      </c>
      <c r="M7" s="11">
        <v>3.6905645087638512</v>
      </c>
      <c r="N7" s="12" t="str">
        <f>IF(       0.097&lt;0.01,"***",IF(       0.097&lt;0.05,"**",IF(       0.097&lt;0.1,"*","NS")))</f>
        <v>*</v>
      </c>
      <c r="P7" s="15" t="s">
        <v>10</v>
      </c>
      <c r="Q7" s="11">
        <v>63.842176151236529</v>
      </c>
      <c r="R7" s="11">
        <v>67.315709344403786</v>
      </c>
      <c r="S7" s="11">
        <v>3.473533193166964</v>
      </c>
      <c r="T7" s="12" t="str">
        <f>IF(       0.118&lt;0.01,"***",IF(       0.118&lt;0.05,"**",IF(       0.118&lt;0.1,"*","NS")))</f>
        <v>NS</v>
      </c>
    </row>
    <row r="9" spans="1:20">
      <c r="A9" s="15" t="s">
        <v>155</v>
      </c>
      <c r="G9" s="15" t="s">
        <v>156</v>
      </c>
      <c r="P9" s="15" t="s">
        <v>157</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61.741676828818647</v>
      </c>
      <c r="C11" s="11">
        <v>63.33618740211174</v>
      </c>
      <c r="D11" s="11">
        <v>1.5945105732931071</v>
      </c>
      <c r="E11" s="12" t="str">
        <f>IF(       0.563&lt;0.01,"***",IF(       0.563&lt;0.05,"**",IF(       0.563&lt;0.1,"*","NS")))</f>
        <v>NS</v>
      </c>
      <c r="G11" s="15" t="s">
        <v>5</v>
      </c>
      <c r="H11" s="11">
        <v>61.741676828818647</v>
      </c>
      <c r="I11" s="11">
        <v>63.533977069700917</v>
      </c>
      <c r="J11" s="11">
        <v>1.792300240882309</v>
      </c>
      <c r="K11" s="12" t="str">
        <f>IF(       0.569&lt;0.01,"***",IF(       0.569&lt;0.05,"**",IF(       0.569&lt;0.1,"*","NS")))</f>
        <v>NS</v>
      </c>
      <c r="L11" s="11">
        <v>63.031513443372511</v>
      </c>
      <c r="M11" s="11">
        <v>1.2898366145538398</v>
      </c>
      <c r="N11" s="12" t="str">
        <f>IF(       0.766&lt;0.01,"***",IF(       0.766&lt;0.05,"**",IF(       0.766&lt;0.1,"*","NS")))</f>
        <v>NS</v>
      </c>
      <c r="P11" s="15" t="s">
        <v>5</v>
      </c>
      <c r="Q11" s="11">
        <v>61.903934561137071</v>
      </c>
      <c r="R11" s="11">
        <v>63.031513443372511</v>
      </c>
      <c r="S11" s="11">
        <v>1.1275788822354862</v>
      </c>
      <c r="T11" s="12" t="str">
        <f>IF(       0.793&lt;0.01,"***",IF(       0.793&lt;0.05,"**",IF(       0.793&lt;0.1,"*","NS")))</f>
        <v>NS</v>
      </c>
    </row>
    <row r="12" spans="1:20">
      <c r="A12" s="15" t="s">
        <v>6</v>
      </c>
      <c r="B12" s="11">
        <v>62.177784337911149</v>
      </c>
      <c r="C12" s="11">
        <v>66.73488355901172</v>
      </c>
      <c r="D12" s="11">
        <v>4.5570992211005663</v>
      </c>
      <c r="E12" s="12" t="str">
        <f>IF(       0.28&lt;0.01,"***",IF(       0.28&lt;0.05,"**",IF(       0.28&lt;0.1,"*","NS")))</f>
        <v>NS</v>
      </c>
      <c r="G12" s="15" t="s">
        <v>6</v>
      </c>
      <c r="H12" s="11">
        <v>62.177784337911149</v>
      </c>
      <c r="I12" s="11">
        <v>68.180048404123582</v>
      </c>
      <c r="J12" s="11">
        <v>6.0022640662124234</v>
      </c>
      <c r="K12" s="12" t="str">
        <f>IF(       0.155&lt;0.01,"***",IF(       0.155&lt;0.05,"**",IF(       0.155&lt;0.1,"*","NS")))</f>
        <v>NS</v>
      </c>
      <c r="L12" s="11">
        <v>62.779336751023777</v>
      </c>
      <c r="M12" s="11">
        <v>0.60155241311265273</v>
      </c>
      <c r="N12" s="12" t="str">
        <f>IF(       0.927&lt;0.01,"***",IF(       0.927&lt;0.05,"**",IF(       0.927&lt;0.1,"*","NS")))</f>
        <v>NS</v>
      </c>
      <c r="P12" s="15" t="s">
        <v>6</v>
      </c>
      <c r="Q12" s="11">
        <v>62.721261999976363</v>
      </c>
      <c r="R12" s="11">
        <v>62.779336751023777</v>
      </c>
      <c r="S12" s="11">
        <v>5.8074751047438158E-2</v>
      </c>
      <c r="T12" s="12" t="str">
        <f>IF(       0.993&lt;0.01,"***",IF(       0.993&lt;0.05,"**",IF(       0.993&lt;0.1,"*","NS")))</f>
        <v>NS</v>
      </c>
    </row>
    <row r="13" spans="1:20">
      <c r="A13" s="15" t="s">
        <v>7</v>
      </c>
      <c r="B13" s="11">
        <v>74.064188250735356</v>
      </c>
      <c r="C13" s="11">
        <v>76.938693078179696</v>
      </c>
      <c r="D13" s="11">
        <v>2.8745048274443485</v>
      </c>
      <c r="E13" s="12" t="str">
        <f>IF(       0.296&lt;0.01,"***",IF(       0.296&lt;0.05,"**",IF(       0.296&lt;0.1,"*","NS")))</f>
        <v>NS</v>
      </c>
      <c r="G13" s="15" t="s">
        <v>7</v>
      </c>
      <c r="H13" s="11">
        <v>74.064188250735356</v>
      </c>
      <c r="I13" s="11">
        <v>76.204275634101734</v>
      </c>
      <c r="J13" s="11">
        <v>2.1400873833663998</v>
      </c>
      <c r="K13" s="12" t="str">
        <f>IF(       0.513&lt;0.01,"***",IF(       0.513&lt;0.05,"**",IF(       0.513&lt;0.1,"*","NS")))</f>
        <v>NS</v>
      </c>
      <c r="L13" s="11">
        <v>78.810146616388138</v>
      </c>
      <c r="M13" s="11">
        <v>4.7459583656527089</v>
      </c>
      <c r="N13" s="12" t="str">
        <f>IF(       0.293&lt;0.01,"***",IF(       0.293&lt;0.05,"**",IF(       0.293&lt;0.1,"*","NS")))</f>
        <v>NS</v>
      </c>
      <c r="P13" s="15" t="s">
        <v>7</v>
      </c>
      <c r="Q13" s="11">
        <v>74.359469813027104</v>
      </c>
      <c r="R13" s="11">
        <v>78.810146616388138</v>
      </c>
      <c r="S13" s="11">
        <v>4.4506768033609143</v>
      </c>
      <c r="T13" s="12" t="str">
        <f>IF(       0.322&lt;0.01,"***",IF(       0.322&lt;0.05,"**",IF(       0.322&lt;0.1,"*","NS")))</f>
        <v>NS</v>
      </c>
    </row>
    <row r="14" spans="1:20">
      <c r="A14" s="15" t="s">
        <v>8</v>
      </c>
      <c r="B14" s="11">
        <v>45.936223720633862</v>
      </c>
      <c r="C14" s="11">
        <v>49.577270292178838</v>
      </c>
      <c r="D14" s="11">
        <v>3.6410465715450266</v>
      </c>
      <c r="E14" s="12" t="str">
        <f>IF(       0.199&lt;0.01,"***",IF(       0.199&lt;0.05,"**",IF(       0.199&lt;0.1,"*","NS")))</f>
        <v>NS</v>
      </c>
      <c r="G14" s="15" t="s">
        <v>8</v>
      </c>
      <c r="H14" s="11">
        <v>45.936223720633862</v>
      </c>
      <c r="I14" s="11">
        <v>48.994777652055859</v>
      </c>
      <c r="J14" s="11">
        <v>3.0585539314220145</v>
      </c>
      <c r="K14" s="12" t="str">
        <f>IF(       0.284&lt;0.01,"***",IF(       0.284&lt;0.05,"**",IF(       0.284&lt;0.1,"*","NS")))</f>
        <v>NS</v>
      </c>
      <c r="L14" s="11">
        <v>51.049181048040793</v>
      </c>
      <c r="M14" s="11">
        <v>5.1129573274069715</v>
      </c>
      <c r="N14" s="12" t="str">
        <f>IF(       0.364&lt;0.01,"***",IF(       0.364&lt;0.05,"**",IF(       0.364&lt;0.1,"*","NS")))</f>
        <v>NS</v>
      </c>
      <c r="P14" s="15" t="s">
        <v>8</v>
      </c>
      <c r="Q14" s="11">
        <v>46.212680297141148</v>
      </c>
      <c r="R14" s="11">
        <v>51.049181048040793</v>
      </c>
      <c r="S14" s="11">
        <v>4.8365007508997495</v>
      </c>
      <c r="T14" s="12" t="str">
        <f>IF(       0.387&lt;0.01,"***",IF(       0.387&lt;0.05,"**",IF(       0.387&lt;0.1,"*","NS")))</f>
        <v>NS</v>
      </c>
    </row>
    <row r="15" spans="1:20">
      <c r="A15" s="15" t="s">
        <v>10</v>
      </c>
      <c r="B15" s="11">
        <v>64.143652812011439</v>
      </c>
      <c r="C15" s="11">
        <v>68.631889380529941</v>
      </c>
      <c r="D15" s="11">
        <v>4.488236568518273</v>
      </c>
      <c r="E15" s="12" t="str">
        <f>IF(       0.006&lt;0.01,"***",IF(       0.006&lt;0.05,"**",IF(       0.006&lt;0.1,"*","NS")))</f>
        <v>***</v>
      </c>
      <c r="G15" s="15" t="s">
        <v>10</v>
      </c>
      <c r="H15" s="11">
        <v>64.143652812011439</v>
      </c>
      <c r="I15" s="11">
        <v>68.702967956370429</v>
      </c>
      <c r="J15" s="11">
        <v>4.5593151443590507</v>
      </c>
      <c r="K15" s="12" t="str">
        <f>IF(       0.019&lt;0.01,"***",IF(       0.019&lt;0.05,"**",IF(       0.019&lt;0.1,"*","NS")))</f>
        <v>**</v>
      </c>
      <c r="L15" s="11">
        <v>68.474884134898176</v>
      </c>
      <c r="M15" s="11">
        <v>4.331231322886806</v>
      </c>
      <c r="N15" s="12" t="str">
        <f>IF(       0.082&lt;0.01,"***",IF(       0.082&lt;0.05,"**",IF(       0.082&lt;0.1,"*","NS")))</f>
        <v>*</v>
      </c>
      <c r="P15" s="15" t="s">
        <v>10</v>
      </c>
      <c r="Q15" s="11">
        <v>64.639989432950173</v>
      </c>
      <c r="R15" s="11">
        <v>68.474884134898176</v>
      </c>
      <c r="S15" s="11">
        <v>3.8348947019478485</v>
      </c>
      <c r="T15" s="12" t="str">
        <f>IF(       0.12&lt;0.01,"***",IF(       0.12&lt;0.05,"**",IF(       0.12&lt;0.1,"*","NS")))</f>
        <v>NS</v>
      </c>
    </row>
    <row r="17" spans="1:20">
      <c r="A17" s="15" t="s">
        <v>158</v>
      </c>
      <c r="G17" s="15" t="s">
        <v>159</v>
      </c>
      <c r="P17" s="15" t="s">
        <v>160</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59.466016791059353</v>
      </c>
      <c r="C19" s="11">
        <v>58.260788220752737</v>
      </c>
      <c r="D19" s="11">
        <v>-1.2052285703066044</v>
      </c>
      <c r="E19" s="12" t="str">
        <f>IF(       0.678&lt;0.01,"***",IF(       0.678&lt;0.05,"**",IF(       0.678&lt;0.1,"*","NS")))</f>
        <v>NS</v>
      </c>
      <c r="G19" s="15" t="s">
        <v>5</v>
      </c>
      <c r="H19" s="11">
        <v>59.466016791059353</v>
      </c>
      <c r="I19" s="11">
        <v>58.463763856758327</v>
      </c>
      <c r="J19" s="11">
        <v>-1.0022529343010078</v>
      </c>
      <c r="K19" s="12" t="str">
        <f>IF(       0.777&lt;0.01,"***",IF(       0.777&lt;0.05,"**",IF(       0.777&lt;0.1,"*","NS")))</f>
        <v>NS</v>
      </c>
      <c r="L19" s="11">
        <v>57.961560868785753</v>
      </c>
      <c r="M19" s="11">
        <v>-1.5044559222735869</v>
      </c>
      <c r="N19" s="12" t="str">
        <f>IF(       0.788&lt;0.01,"***",IF(       0.788&lt;0.05,"**",IF(       0.788&lt;0.1,"*","NS")))</f>
        <v>NS</v>
      </c>
      <c r="P19" s="15" t="s">
        <v>5</v>
      </c>
      <c r="Q19" s="11">
        <v>59.372720235793032</v>
      </c>
      <c r="R19" s="11">
        <v>57.961560868785753</v>
      </c>
      <c r="S19" s="11">
        <v>-1.4111593670073235</v>
      </c>
      <c r="T19" s="12" t="str">
        <f>IF(       0.803&lt;0.01,"***",IF(       0.803&lt;0.05,"**",IF(       0.803&lt;0.1,"*","NS")))</f>
        <v>NS</v>
      </c>
    </row>
    <row r="20" spans="1:20">
      <c r="A20" s="15" t="s">
        <v>6</v>
      </c>
      <c r="B20" s="11">
        <v>59.5873138384896</v>
      </c>
      <c r="C20" s="11">
        <v>59.277709929591481</v>
      </c>
      <c r="D20" s="11">
        <v>-0.30960390889811512</v>
      </c>
      <c r="E20" s="12" t="str">
        <f>IF(       0.946&lt;0.01,"***",IF(       0.946&lt;0.05,"**",IF(       0.946&lt;0.1,"*","NS")))</f>
        <v>NS</v>
      </c>
      <c r="G20" s="15" t="s">
        <v>6</v>
      </c>
      <c r="H20" s="11">
        <v>59.5873138384896</v>
      </c>
      <c r="I20" s="11">
        <v>55.918606791943688</v>
      </c>
      <c r="J20" s="11">
        <v>-3.668707046545935</v>
      </c>
      <c r="K20" s="12" t="str">
        <f>IF(       0.421&lt;0.01,"***",IF(       0.421&lt;0.05,"**",IF(       0.421&lt;0.1,"*","NS")))</f>
        <v>NS</v>
      </c>
      <c r="L20" s="11">
        <v>67.162299260769984</v>
      </c>
      <c r="M20" s="11">
        <v>7.5749854222803812</v>
      </c>
      <c r="N20" s="12" t="str">
        <f>IF(       0.29&lt;0.01,"***",IF(       0.29&lt;0.05,"**",IF(       0.29&lt;0.1,"*","NS")))</f>
        <v>NS</v>
      </c>
      <c r="P20" s="15" t="s">
        <v>6</v>
      </c>
      <c r="Q20" s="11">
        <v>59.224017653782148</v>
      </c>
      <c r="R20" s="11">
        <v>67.162299260769984</v>
      </c>
      <c r="S20" s="11">
        <v>7.9382816069877871</v>
      </c>
      <c r="T20" s="12" t="str">
        <f>IF(       0.255&lt;0.01,"***",IF(       0.255&lt;0.05,"**",IF(       0.255&lt;0.1,"*","NS")))</f>
        <v>NS</v>
      </c>
    </row>
    <row r="21" spans="1:20" ht="15.75" customHeight="1">
      <c r="A21" s="15" t="s">
        <v>7</v>
      </c>
      <c r="B21" s="11">
        <v>72.780156891367881</v>
      </c>
      <c r="C21" s="11">
        <v>75.150019392226639</v>
      </c>
      <c r="D21" s="11">
        <v>2.3698625008587824</v>
      </c>
      <c r="E21" s="12" t="str">
        <f>IF(       0.552&lt;0.01,"***",IF(       0.552&lt;0.05,"**",IF(       0.552&lt;0.1,"*","NS")))</f>
        <v>NS</v>
      </c>
      <c r="G21" s="15" t="s">
        <v>7</v>
      </c>
      <c r="H21" s="11">
        <v>72.780156891367881</v>
      </c>
      <c r="I21" s="11">
        <v>73.156198163889755</v>
      </c>
      <c r="J21" s="11">
        <v>0.37604127252187858</v>
      </c>
      <c r="K21" s="12" t="str">
        <f>IF(       0.947&lt;0.01,"***",IF(       0.947&lt;0.05,"**",IF(       0.947&lt;0.1,"*","NS")))</f>
        <v>NS</v>
      </c>
      <c r="L21" s="11">
        <v>78.972437431608853</v>
      </c>
      <c r="M21" s="11">
        <v>6.1922805402409367</v>
      </c>
      <c r="N21" s="12" t="str">
        <f>IF(       0.254&lt;0.01,"***",IF(       0.254&lt;0.05,"**",IF(       0.254&lt;0.1,"*","NS")))</f>
        <v>NS</v>
      </c>
      <c r="P21" s="15" t="s">
        <v>7</v>
      </c>
      <c r="Q21" s="11">
        <v>72.814635598872513</v>
      </c>
      <c r="R21" s="11">
        <v>78.972437431608853</v>
      </c>
      <c r="S21" s="11">
        <v>6.1578018327363457</v>
      </c>
      <c r="T21" s="12" t="str">
        <f>IF(       0.264&lt;0.01,"***",IF(       0.264&lt;0.05,"**",IF(       0.264&lt;0.1,"*","NS")))</f>
        <v>NS</v>
      </c>
    </row>
    <row r="22" spans="1:20" ht="15.75" customHeight="1">
      <c r="A22" s="15" t="s">
        <v>8</v>
      </c>
      <c r="B22" s="11">
        <v>47.027502664132427</v>
      </c>
      <c r="C22" s="11">
        <v>42.285611337778889</v>
      </c>
      <c r="D22" s="11">
        <v>-4.7418913263535494</v>
      </c>
      <c r="E22" s="12" t="str">
        <f>IF(       0.096&lt;0.01,"***",IF(       0.096&lt;0.05,"**",IF(       0.096&lt;0.1,"*","NS")))</f>
        <v>*</v>
      </c>
      <c r="G22" s="15" t="s">
        <v>8</v>
      </c>
      <c r="H22" s="11">
        <v>47.027502664132427</v>
      </c>
      <c r="I22" s="11">
        <v>41.02793811693472</v>
      </c>
      <c r="J22" s="11">
        <v>-5.9995645471977657</v>
      </c>
      <c r="K22" s="12" t="str">
        <f>IF(       0.113&lt;0.01,"***",IF(       0.113&lt;0.05,"**",IF(       0.113&lt;0.1,"*","NS")))</f>
        <v>NS</v>
      </c>
      <c r="L22" s="11">
        <v>45.094535978074241</v>
      </c>
      <c r="M22" s="11">
        <v>-1.9329666860582162</v>
      </c>
      <c r="N22" s="12" t="str">
        <f>IF(       0.735&lt;0.01,"***",IF(       0.735&lt;0.05,"**",IF(       0.735&lt;0.1,"*","NS")))</f>
        <v>NS</v>
      </c>
      <c r="P22" s="15" t="s">
        <v>8</v>
      </c>
      <c r="Q22" s="11">
        <v>46.479593178932717</v>
      </c>
      <c r="R22" s="11">
        <v>45.094535978074241</v>
      </c>
      <c r="S22" s="11">
        <v>-1.3850572008585529</v>
      </c>
      <c r="T22" s="12" t="str">
        <f>IF(       0.811&lt;0.01,"***",IF(       0.811&lt;0.05,"**",IF(       0.811&lt;0.1,"*","NS")))</f>
        <v>NS</v>
      </c>
    </row>
    <row r="23" spans="1:20" ht="15.75" customHeight="1">
      <c r="A23" s="15" t="s">
        <v>10</v>
      </c>
      <c r="B23" s="11">
        <v>62.953532708006207</v>
      </c>
      <c r="C23" s="11">
        <v>62.808797713451987</v>
      </c>
      <c r="D23" s="11">
        <v>-0.14473499455420555</v>
      </c>
      <c r="E23" s="12" t="str">
        <f>IF(       0.945&lt;0.01,"***",IF(       0.945&lt;0.05,"**",IF(       0.945&lt;0.1,"*","NS")))</f>
        <v>NS</v>
      </c>
      <c r="G23" s="15" t="s">
        <v>10</v>
      </c>
      <c r="H23" s="11">
        <v>62.953532708006207</v>
      </c>
      <c r="I23" s="11">
        <v>61.2056228991284</v>
      </c>
      <c r="J23" s="11">
        <v>-1.7479098088778235</v>
      </c>
      <c r="K23" s="12" t="str">
        <f>IF(       0.537&lt;0.01,"***",IF(       0.537&lt;0.05,"**",IF(       0.537&lt;0.1,"*","NS")))</f>
        <v>NS</v>
      </c>
      <c r="L23" s="11">
        <v>65.805539867941235</v>
      </c>
      <c r="M23" s="11">
        <v>2.8520071599350363</v>
      </c>
      <c r="N23" s="12" t="str">
        <f>IF(       0.378&lt;0.01,"***",IF(       0.378&lt;0.05,"**",IF(       0.378&lt;0.1,"*","NS")))</f>
        <v>NS</v>
      </c>
      <c r="P23" s="15" t="s">
        <v>10</v>
      </c>
      <c r="Q23" s="11">
        <v>62.790625210986242</v>
      </c>
      <c r="R23" s="11">
        <v>65.805539867941235</v>
      </c>
      <c r="S23" s="11">
        <v>3.014914656955209</v>
      </c>
      <c r="T23" s="12" t="str">
        <f>IF(       0.356&lt;0.01,"***",IF(       0.356&lt;0.05,"**",IF(       0.356&lt;0.1,"*","NS")))</f>
        <v>NS</v>
      </c>
    </row>
    <row r="24" spans="1:20" ht="15.75" customHeight="1"/>
    <row r="25" spans="1:20" ht="15.75" customHeight="1">
      <c r="A25" s="15" t="s">
        <v>161</v>
      </c>
      <c r="G25" s="15" t="s">
        <v>162</v>
      </c>
      <c r="P25" s="15" t="s">
        <v>163</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55.461283579732132</v>
      </c>
      <c r="C27" s="11">
        <v>55.69960526879013</v>
      </c>
      <c r="D27" s="11">
        <v>0.23832168905802353</v>
      </c>
      <c r="E27" s="12" t="str">
        <f>IF(       0.924&lt;0.01,"***",IF(       0.924&lt;0.05,"**",IF(       0.924&lt;0.1,"*","NS")))</f>
        <v>NS</v>
      </c>
      <c r="G27" s="15" t="s">
        <v>5</v>
      </c>
      <c r="H27" s="11">
        <v>55.461283579732132</v>
      </c>
      <c r="I27" s="11">
        <v>54.866831747413997</v>
      </c>
      <c r="J27" s="11">
        <v>-0.59445183231812715</v>
      </c>
      <c r="K27" s="12" t="str">
        <f>IF(       0.813&lt;0.01,"***",IF(       0.813&lt;0.05,"**",IF(       0.813&lt;0.1,"*","NS")))</f>
        <v>NS</v>
      </c>
      <c r="L27" s="11">
        <v>56.930929482969027</v>
      </c>
      <c r="M27" s="11">
        <v>1.469645903236926</v>
      </c>
      <c r="N27" s="12" t="str">
        <f>IF(       0.751&lt;0.01,"***",IF(       0.751&lt;0.05,"**",IF(       0.751&lt;0.1,"*","NS")))</f>
        <v>NS</v>
      </c>
      <c r="P27" s="15" t="s">
        <v>5</v>
      </c>
      <c r="Q27" s="11">
        <v>55.407533004475319</v>
      </c>
      <c r="R27" s="11">
        <v>56.930929482969027</v>
      </c>
      <c r="S27" s="11">
        <v>1.523396478493688</v>
      </c>
      <c r="T27" s="12" t="str">
        <f>IF(       0.742&lt;0.01,"***",IF(       0.742&lt;0.05,"**",IF(       0.742&lt;0.1,"*","NS")))</f>
        <v>NS</v>
      </c>
    </row>
    <row r="28" spans="1:20" ht="15.75" customHeight="1">
      <c r="A28" s="15" t="s">
        <v>6</v>
      </c>
      <c r="B28" s="11">
        <v>53.472903239981477</v>
      </c>
      <c r="C28" s="11">
        <v>56.26366085369586</v>
      </c>
      <c r="D28" s="11">
        <v>2.7907576137143502</v>
      </c>
      <c r="E28" s="12" t="str">
        <f>IF(       0.526&lt;0.01,"***",IF(       0.526&lt;0.05,"**",IF(       0.526&lt;0.1,"*","NS")))</f>
        <v>NS</v>
      </c>
      <c r="G28" s="15" t="s">
        <v>6</v>
      </c>
      <c r="H28" s="11">
        <v>53.472903239981477</v>
      </c>
      <c r="I28" s="11">
        <v>54.685680152101398</v>
      </c>
      <c r="J28" s="11">
        <v>1.2127769121199581</v>
      </c>
      <c r="K28" s="12" t="str">
        <f>IF(       0.785&lt;0.01,"***",IF(       0.785&lt;0.05,"**",IF(       0.785&lt;0.1,"*","NS")))</f>
        <v>NS</v>
      </c>
      <c r="L28" s="11">
        <v>59.84710037180831</v>
      </c>
      <c r="M28" s="11">
        <v>6.3741971318269028</v>
      </c>
      <c r="N28" s="12" t="str">
        <f>IF(       0.34&lt;0.01,"***",IF(       0.34&lt;0.05,"**",IF(       0.34&lt;0.1,"*","NS")))</f>
        <v>NS</v>
      </c>
      <c r="P28" s="15" t="s">
        <v>6</v>
      </c>
      <c r="Q28" s="11">
        <v>53.582203690987583</v>
      </c>
      <c r="R28" s="11">
        <v>59.84710037180831</v>
      </c>
      <c r="S28" s="11">
        <v>6.264896680820649</v>
      </c>
      <c r="T28" s="12" t="str">
        <f>IF(       0.337&lt;0.01,"***",IF(       0.337&lt;0.05,"**",IF(       0.337&lt;0.1,"*","NS")))</f>
        <v>NS</v>
      </c>
    </row>
    <row r="29" spans="1:20" ht="15.75" customHeight="1">
      <c r="A29" s="15" t="s">
        <v>7</v>
      </c>
      <c r="B29" s="11">
        <v>76.35936301106338</v>
      </c>
      <c r="C29" s="11">
        <v>78.18280759646899</v>
      </c>
      <c r="D29" s="11">
        <v>1.8234445854056143</v>
      </c>
      <c r="E29" s="12" t="str">
        <f>IF(       0.605&lt;0.01,"***",IF(       0.605&lt;0.05,"**",IF(       0.605&lt;0.1,"*","NS")))</f>
        <v>NS</v>
      </c>
      <c r="G29" s="15" t="s">
        <v>7</v>
      </c>
      <c r="H29" s="11">
        <v>76.35936301106338</v>
      </c>
      <c r="I29" s="11">
        <v>77.636753776286653</v>
      </c>
      <c r="J29" s="11">
        <v>1.2773907652232772</v>
      </c>
      <c r="K29" s="12" t="str">
        <f>IF(       0.755&lt;0.01,"***",IF(       0.755&lt;0.05,"**",IF(       0.755&lt;0.1,"*","NS")))</f>
        <v>NS</v>
      </c>
      <c r="L29" s="11">
        <v>79.206065378549894</v>
      </c>
      <c r="M29" s="11">
        <v>2.8467023674865652</v>
      </c>
      <c r="N29" s="12" t="str">
        <f>IF(       0.51&lt;0.01,"***",IF(       0.51&lt;0.05,"**",IF(       0.51&lt;0.1,"*","NS")))</f>
        <v>NS</v>
      </c>
      <c r="P29" s="15" t="s">
        <v>7</v>
      </c>
      <c r="Q29" s="11">
        <v>76.50143740399875</v>
      </c>
      <c r="R29" s="11">
        <v>79.206065378549894</v>
      </c>
      <c r="S29" s="11">
        <v>2.7046279745511246</v>
      </c>
      <c r="T29" s="12" t="str">
        <f>IF(       0.517&lt;0.01,"***",IF(       0.517&lt;0.05,"**",IF(       0.517&lt;0.1,"*","NS")))</f>
        <v>NS</v>
      </c>
    </row>
    <row r="30" spans="1:20" ht="15.75" customHeight="1">
      <c r="A30" s="15" t="s">
        <v>8</v>
      </c>
      <c r="B30" s="11">
        <v>41.893414217418417</v>
      </c>
      <c r="C30" s="11">
        <v>42.407006962256737</v>
      </c>
      <c r="D30" s="11">
        <v>0.51359274483832862</v>
      </c>
      <c r="E30" s="12" t="str">
        <f>IF(       0.854&lt;0.01,"***",IF(       0.854&lt;0.05,"**",IF(       0.854&lt;0.1,"*","NS")))</f>
        <v>NS</v>
      </c>
      <c r="G30" s="15" t="s">
        <v>8</v>
      </c>
      <c r="H30" s="11">
        <v>41.893414217418417</v>
      </c>
      <c r="I30" s="11">
        <v>40.839076412486499</v>
      </c>
      <c r="J30" s="11">
        <v>-1.0543378049319299</v>
      </c>
      <c r="K30" s="12" t="str">
        <f>IF(       0.767&lt;0.01,"***",IF(       0.767&lt;0.05,"**",IF(       0.767&lt;0.1,"*","NS")))</f>
        <v>NS</v>
      </c>
      <c r="L30" s="11">
        <v>46.180950209361583</v>
      </c>
      <c r="M30" s="11">
        <v>4.2875359919432414</v>
      </c>
      <c r="N30" s="12" t="str">
        <f>IF(       0.37&lt;0.01,"***",IF(       0.37&lt;0.05,"**",IF(       0.37&lt;0.1,"*","NS")))</f>
        <v>NS</v>
      </c>
      <c r="P30" s="15" t="s">
        <v>8</v>
      </c>
      <c r="Q30" s="11">
        <v>41.795920443504109</v>
      </c>
      <c r="R30" s="11">
        <v>46.180950209361583</v>
      </c>
      <c r="S30" s="11">
        <v>4.3850297658575244</v>
      </c>
      <c r="T30" s="12" t="str">
        <f>IF(       0.363&lt;0.01,"***",IF(       0.363&lt;0.05,"**",IF(       0.363&lt;0.1,"*","NS")))</f>
        <v>NS</v>
      </c>
    </row>
    <row r="31" spans="1:20" ht="15.75" customHeight="1">
      <c r="A31" s="15" t="s">
        <v>10</v>
      </c>
      <c r="B31" s="11">
        <v>55.120303609416723</v>
      </c>
      <c r="C31" s="11">
        <v>57.056829151375837</v>
      </c>
      <c r="D31" s="11">
        <v>1.9365255419591569</v>
      </c>
      <c r="E31" s="12" t="str">
        <f>IF(       0.235&lt;0.01,"***",IF(       0.235&lt;0.05,"**",IF(       0.235&lt;0.1,"*","NS")))</f>
        <v>NS</v>
      </c>
      <c r="G31" s="15" t="s">
        <v>10</v>
      </c>
      <c r="H31" s="11">
        <v>55.120303609416723</v>
      </c>
      <c r="I31" s="11">
        <v>55.784815936130023</v>
      </c>
      <c r="J31" s="11">
        <v>0.66451232671329818</v>
      </c>
      <c r="K31" s="12" t="str">
        <f>IF(       0.708&lt;0.01,"***",IF(       0.708&lt;0.05,"**",IF(       0.708&lt;0.1,"*","NS")))</f>
        <v>NS</v>
      </c>
      <c r="L31" s="11">
        <v>59.367869137920202</v>
      </c>
      <c r="M31" s="11">
        <v>4.2475655285033298</v>
      </c>
      <c r="N31" s="12" t="str">
        <f>IF(       0.119&lt;0.01,"***",IF(       0.119&lt;0.05,"**",IF(       0.119&lt;0.1,"*","NS")))</f>
        <v>NS</v>
      </c>
      <c r="P31" s="15" t="s">
        <v>10</v>
      </c>
      <c r="Q31" s="11">
        <v>55.182518147524441</v>
      </c>
      <c r="R31" s="11">
        <v>59.367869137920202</v>
      </c>
      <c r="S31" s="11">
        <v>4.1853509903959019</v>
      </c>
      <c r="T31" s="12" t="str">
        <f>IF(       0.121&lt;0.01,"***",IF(       0.121&lt;0.05,"**",IF(       0.121&lt;0.1,"*","NS")))</f>
        <v>NS</v>
      </c>
    </row>
    <row r="32" spans="1:20" ht="15.75" customHeight="1"/>
    <row r="33" spans="1:20" ht="15.75" customHeight="1">
      <c r="A33" s="15" t="s">
        <v>164</v>
      </c>
      <c r="G33" s="15" t="s">
        <v>165</v>
      </c>
      <c r="P33" s="15" t="s">
        <v>166</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82.13648589086722</v>
      </c>
      <c r="C35" s="11">
        <v>82.724196477697703</v>
      </c>
      <c r="D35" s="11">
        <v>0.58771058683047106</v>
      </c>
      <c r="E35" s="12" t="str">
        <f>IF(       0.784&lt;0.01,"***",IF(       0.784&lt;0.05,"**",IF(       0.784&lt;0.1,"*","NS")))</f>
        <v>NS</v>
      </c>
      <c r="G35" s="15" t="s">
        <v>5</v>
      </c>
      <c r="H35" s="11">
        <v>82.13648589086722</v>
      </c>
      <c r="I35" s="11">
        <v>85.94399299484293</v>
      </c>
      <c r="J35" s="11">
        <v>3.807507103975754</v>
      </c>
      <c r="K35" s="12" t="str">
        <f>IF(       0.112&lt;0.01,"***",IF(       0.112&lt;0.05,"**",IF(       0.112&lt;0.1,"*","NS")))</f>
        <v>NS</v>
      </c>
      <c r="L35" s="11">
        <v>77.399141435204285</v>
      </c>
      <c r="M35" s="11">
        <v>-4.7373444556629423</v>
      </c>
      <c r="N35" s="12" t="str">
        <f>IF(       0.262&lt;0.01,"***",IF(       0.262&lt;0.05,"**",IF(       0.262&lt;0.1,"*","NS")))</f>
        <v>NS</v>
      </c>
      <c r="P35" s="15" t="s">
        <v>5</v>
      </c>
      <c r="Q35" s="11">
        <v>82.502237480044613</v>
      </c>
      <c r="R35" s="11">
        <v>77.399141435204285</v>
      </c>
      <c r="S35" s="11">
        <v>-5.1030960448401803</v>
      </c>
      <c r="T35" s="12" t="str">
        <f>IF(       0.228&lt;0.01,"***",IF(       0.228&lt;0.05,"**",IF(       0.228&lt;0.1,"*","NS")))</f>
        <v>NS</v>
      </c>
    </row>
    <row r="36" spans="1:20" ht="15.75" customHeight="1">
      <c r="A36" s="15" t="s">
        <v>6</v>
      </c>
      <c r="B36" s="11">
        <v>78.529066593126842</v>
      </c>
      <c r="C36" s="11">
        <v>78.940372488712242</v>
      </c>
      <c r="D36" s="11">
        <v>0.41130589558542024</v>
      </c>
      <c r="E36" s="12" t="str">
        <f>IF(       0.927&lt;0.01,"***",IF(       0.927&lt;0.05,"**",IF(       0.927&lt;0.1,"*","NS")))</f>
        <v>NS</v>
      </c>
      <c r="G36" s="15" t="s">
        <v>6</v>
      </c>
      <c r="H36" s="11">
        <v>78.529066593126842</v>
      </c>
      <c r="I36" s="11">
        <v>78.754596104714707</v>
      </c>
      <c r="J36" s="11">
        <v>0.22552951158785295</v>
      </c>
      <c r="K36" s="12" t="str">
        <f>IF(       0.965&lt;0.01,"***",IF(       0.965&lt;0.05,"**",IF(       0.965&lt;0.1,"*","NS")))</f>
        <v>NS</v>
      </c>
      <c r="L36" s="11">
        <v>79.566249263767006</v>
      </c>
      <c r="M36" s="11">
        <v>1.0371826706401566</v>
      </c>
      <c r="N36" s="12" t="str">
        <f>IF(       0.882&lt;0.01,"***",IF(       0.882&lt;0.05,"**",IF(       0.882&lt;0.1,"*","NS")))</f>
        <v>NS</v>
      </c>
      <c r="P36" s="15" t="s">
        <v>6</v>
      </c>
      <c r="Q36" s="11">
        <v>78.552299696078805</v>
      </c>
      <c r="R36" s="11">
        <v>79.566249263767006</v>
      </c>
      <c r="S36" s="11">
        <v>1.01394956768816</v>
      </c>
      <c r="T36" s="12" t="str">
        <f>IF(       0.883&lt;0.01,"***",IF(       0.883&lt;0.05,"**",IF(       0.883&lt;0.1,"*","NS")))</f>
        <v>NS</v>
      </c>
    </row>
    <row r="37" spans="1:20" ht="15.75" customHeight="1">
      <c r="A37" s="15" t="s">
        <v>7</v>
      </c>
      <c r="B37" s="11">
        <v>72.837129310678876</v>
      </c>
      <c r="C37" s="11">
        <v>75.855718190052713</v>
      </c>
      <c r="D37" s="11">
        <v>3.0185888793738389</v>
      </c>
      <c r="E37" s="12" t="str">
        <f>IF(       0.334&lt;0.01,"***",IF(       0.334&lt;0.05,"**",IF(       0.334&lt;0.1,"*","NS")))</f>
        <v>NS</v>
      </c>
      <c r="G37" s="15" t="s">
        <v>7</v>
      </c>
      <c r="H37" s="11">
        <v>72.837129310678876</v>
      </c>
      <c r="I37" s="11">
        <v>74.629619812597724</v>
      </c>
      <c r="J37" s="11">
        <v>1.7924905019188984</v>
      </c>
      <c r="K37" s="12" t="str">
        <f>IF(       0.641&lt;0.01,"***",IF(       0.641&lt;0.05,"**",IF(       0.641&lt;0.1,"*","NS")))</f>
        <v>NS</v>
      </c>
      <c r="L37" s="11">
        <v>78.791308009804922</v>
      </c>
      <c r="M37" s="11">
        <v>5.9541786991260164</v>
      </c>
      <c r="N37" s="12" t="str">
        <f>IF(       0.222&lt;0.01,"***",IF(       0.222&lt;0.05,"**",IF(       0.222&lt;0.1,"*","NS")))</f>
        <v>NS</v>
      </c>
      <c r="P37" s="15" t="s">
        <v>7</v>
      </c>
      <c r="Q37" s="11">
        <v>73.049860515687456</v>
      </c>
      <c r="R37" s="11">
        <v>78.791308009804922</v>
      </c>
      <c r="S37" s="11">
        <v>5.7414474941175691</v>
      </c>
      <c r="T37" s="12" t="str">
        <f>IF(       0.239&lt;0.01,"***",IF(       0.239&lt;0.05,"**",IF(       0.239&lt;0.1,"*","NS")))</f>
        <v>NS</v>
      </c>
    </row>
    <row r="38" spans="1:20" ht="15.75" customHeight="1">
      <c r="A38" s="15" t="s">
        <v>8</v>
      </c>
      <c r="B38" s="11">
        <v>56.543772736179037</v>
      </c>
      <c r="C38" s="11">
        <v>54.831690777458029</v>
      </c>
      <c r="D38" s="11">
        <v>-1.7120819587209388</v>
      </c>
      <c r="E38" s="12" t="str">
        <f>IF(       0.609&lt;0.01,"***",IF(       0.609&lt;0.05,"**",IF(       0.609&lt;0.1,"*","NS")))</f>
        <v>NS</v>
      </c>
      <c r="G38" s="15" t="s">
        <v>8</v>
      </c>
      <c r="H38" s="11">
        <v>56.543772736179037</v>
      </c>
      <c r="I38" s="11">
        <v>55.844104228633483</v>
      </c>
      <c r="J38" s="11">
        <v>-0.69966850754552368</v>
      </c>
      <c r="K38" s="12" t="str">
        <f>IF(       0.858&lt;0.01,"***",IF(       0.858&lt;0.05,"**",IF(       0.858&lt;0.1,"*","NS")))</f>
        <v>NS</v>
      </c>
      <c r="L38" s="11">
        <v>52.480017780081333</v>
      </c>
      <c r="M38" s="11">
        <v>-4.063754956097605</v>
      </c>
      <c r="N38" s="12" t="str">
        <f>IF(       0.66&lt;0.01,"***",IF(       0.66&lt;0.05,"**",IF(       0.66&lt;0.1,"*","NS")))</f>
        <v>NS</v>
      </c>
      <c r="P38" s="15" t="s">
        <v>8</v>
      </c>
      <c r="Q38" s="11">
        <v>56.482804624909789</v>
      </c>
      <c r="R38" s="11">
        <v>52.480017780081333</v>
      </c>
      <c r="S38" s="11">
        <v>-4.0027868448283908</v>
      </c>
      <c r="T38" s="12" t="str">
        <f>IF(       0.668&lt;0.01,"***",IF(       0.668&lt;0.05,"**",IF(       0.668&lt;0.1,"*","NS")))</f>
        <v>NS</v>
      </c>
    </row>
    <row r="39" spans="1:20" ht="15.75" customHeight="1">
      <c r="A39" s="15" t="s">
        <v>10</v>
      </c>
      <c r="B39" s="11">
        <v>72.976371071451283</v>
      </c>
      <c r="C39" s="11">
        <v>75.343400646753921</v>
      </c>
      <c r="D39" s="11">
        <v>2.367029575302626</v>
      </c>
      <c r="E39" s="12" t="str">
        <f>IF(       0.286&lt;0.01,"***",IF(       0.286&lt;0.05,"**",IF(       0.286&lt;0.1,"*","NS")))</f>
        <v>NS</v>
      </c>
      <c r="G39" s="15" t="s">
        <v>10</v>
      </c>
      <c r="H39" s="11">
        <v>72.976371071451283</v>
      </c>
      <c r="I39" s="11">
        <v>74.79293056367878</v>
      </c>
      <c r="J39" s="11">
        <v>1.816559492227501</v>
      </c>
      <c r="K39" s="12" t="str">
        <f>IF(       0.516&lt;0.01,"***",IF(       0.516&lt;0.05,"**",IF(       0.516&lt;0.1,"*","NS")))</f>
        <v>NS</v>
      </c>
      <c r="L39" s="11">
        <v>76.636019134861741</v>
      </c>
      <c r="M39" s="11">
        <v>3.6596480634105197</v>
      </c>
      <c r="N39" s="12" t="str">
        <f>IF(       0.296&lt;0.01,"***",IF(       0.296&lt;0.05,"**",IF(       0.296&lt;0.1,"*","NS")))</f>
        <v>NS</v>
      </c>
      <c r="P39" s="15" t="s">
        <v>10</v>
      </c>
      <c r="Q39" s="11">
        <v>73.17846420219982</v>
      </c>
      <c r="R39" s="11">
        <v>76.636019134861741</v>
      </c>
      <c r="S39" s="11">
        <v>3.4575549326617554</v>
      </c>
      <c r="T39" s="12" t="str">
        <f>IF(       0.325&lt;0.01,"***",IF(       0.325&lt;0.05,"**",IF(       0.325&lt;0.1,"*","NS")))</f>
        <v>NS</v>
      </c>
    </row>
    <row r="40" spans="1:20" ht="15.75" customHeight="1"/>
    <row r="41" spans="1:20" ht="15.75" customHeight="1">
      <c r="A41" s="15" t="s">
        <v>167</v>
      </c>
      <c r="G41" s="15" t="s">
        <v>168</v>
      </c>
      <c r="P41" s="15" t="s">
        <v>169</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61.834712861969969</v>
      </c>
      <c r="C43" s="11">
        <v>60.717798344766742</v>
      </c>
      <c r="D43" s="11">
        <v>-1.116914517203212</v>
      </c>
      <c r="E43" s="12" t="str">
        <f>IF(       0.82&lt;0.01,"***",IF(       0.82&lt;0.05,"**",IF(       0.82&lt;0.1,"*","NS")))</f>
        <v>NS</v>
      </c>
      <c r="G43" s="15" t="s">
        <v>5</v>
      </c>
      <c r="H43" s="11">
        <v>61.834712861969969</v>
      </c>
      <c r="I43" s="11">
        <v>61.069281985139128</v>
      </c>
      <c r="J43" s="11">
        <v>-0.76543087683087019</v>
      </c>
      <c r="K43" s="12" t="str">
        <f>IF(       0.89&lt;0.01,"***",IF(       0.89&lt;0.05,"**",IF(       0.89&lt;0.1,"*","NS")))</f>
        <v>NS</v>
      </c>
      <c r="L43" s="11">
        <v>60.185924604745871</v>
      </c>
      <c r="M43" s="11">
        <v>-1.6487882572240993</v>
      </c>
      <c r="N43" s="12" t="str">
        <f>IF(       0.017&lt;0.01,"***",IF(       0.017&lt;0.05,"**",IF(       0.017&lt;0.1,"*","NS")))</f>
        <v>**</v>
      </c>
      <c r="P43" s="15" t="s">
        <v>5</v>
      </c>
      <c r="Q43" s="11">
        <v>61.808436471200359</v>
      </c>
      <c r="R43" s="11">
        <v>60.185924604745871</v>
      </c>
      <c r="S43" s="11">
        <v>-1.6225118664544247</v>
      </c>
      <c r="T43" s="12" t="str">
        <f>IF(       0.809&lt;0.01,"***",IF(       0.809&lt;0.05,"**",IF(       0.809&lt;0.1,"*","NS")))</f>
        <v>NS</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73.636982914067602</v>
      </c>
      <c r="C45" s="11">
        <v>75.236283976760234</v>
      </c>
      <c r="D45" s="11">
        <v>1.5993010626926143</v>
      </c>
      <c r="E45" s="12" t="str">
        <f>IF(       0.735&lt;0.01,"***",IF(       0.735&lt;0.05,"**",IF(       0.735&lt;0.1,"*","NS")))</f>
        <v>NS</v>
      </c>
      <c r="G45" s="15" t="s">
        <v>7</v>
      </c>
      <c r="H45" s="11">
        <v>73.636982914067602</v>
      </c>
      <c r="I45" s="11">
        <v>74.29577896912572</v>
      </c>
      <c r="J45" s="11">
        <v>0.65879605505811856</v>
      </c>
      <c r="K45" s="12" t="str">
        <f>IF(       0.894&lt;0.01,"***",IF(       0.894&lt;0.05,"**",IF(       0.894&lt;0.1,"*","NS")))</f>
        <v>NS</v>
      </c>
      <c r="L45" s="11">
        <v>78.702622994802297</v>
      </c>
      <c r="M45" s="11">
        <v>5.0656400807345063</v>
      </c>
      <c r="N45" s="12" t="str">
        <f>IF(       0.707&lt;0.01,"***",IF(       0.707&lt;0.05,"**",IF(       0.707&lt;0.1,"*","NS")))</f>
        <v>NS</v>
      </c>
      <c r="P45" s="15" t="s">
        <v>7</v>
      </c>
      <c r="Q45" s="11">
        <v>73.681863074983241</v>
      </c>
      <c r="R45" s="11">
        <v>78.702622994802297</v>
      </c>
      <c r="S45" s="11">
        <v>5.0207599198190138</v>
      </c>
      <c r="T45" s="12" t="str">
        <f>IF(       0.541&lt;0.01,"***",IF(       0.541&lt;0.05,"**",IF(       0.541&lt;0.1,"*","NS")))</f>
        <v>NS</v>
      </c>
    </row>
    <row r="46" spans="1:20" ht="15.75" customHeight="1">
      <c r="A46" s="15" t="s">
        <v>8</v>
      </c>
      <c r="B46" s="11">
        <v>47.299639811755732</v>
      </c>
      <c r="C46" s="11">
        <v>43.377439414257061</v>
      </c>
      <c r="D46" s="11">
        <v>-3.9222003974988149</v>
      </c>
      <c r="E46" s="12" t="str">
        <f>IF(       0.268&lt;0.01,"***",IF(       0.268&lt;0.05,"**",IF(       0.268&lt;0.1,"*","NS")))</f>
        <v>NS</v>
      </c>
      <c r="G46" s="15" t="s">
        <v>8</v>
      </c>
      <c r="H46" s="11">
        <v>47.299639811755732</v>
      </c>
      <c r="I46" s="11">
        <v>43.377166903250917</v>
      </c>
      <c r="J46" s="11">
        <v>-3.9224729085047878</v>
      </c>
      <c r="K46" s="12" t="str">
        <f>IF(       0.349&lt;0.01,"***",IF(       0.349&lt;0.05,"**",IF(       0.349&lt;0.1,"*","NS")))</f>
        <v>NS</v>
      </c>
      <c r="L46" s="11">
        <v>43.378414274866991</v>
      </c>
      <c r="M46" s="11">
        <v>-3.9212255368886044</v>
      </c>
      <c r="N46" s="12" t="str">
        <f>IF(       0.543&lt;0.01,"***",IF(       0.543&lt;0.05,"**",IF(       0.543&lt;0.1,"*","NS")))</f>
        <v>NS</v>
      </c>
      <c r="P46" s="15" t="s">
        <v>8</v>
      </c>
      <c r="Q46" s="11">
        <v>47.11658336915945</v>
      </c>
      <c r="R46" s="11">
        <v>43.378414274866991</v>
      </c>
      <c r="S46" s="11">
        <v>-3.7381690942926151</v>
      </c>
      <c r="T46" s="12" t="str">
        <f>IF(       0.636&lt;0.01,"***",IF(       0.636&lt;0.05,"**",IF(       0.636&lt;0.1,"*","NS")))</f>
        <v>NS</v>
      </c>
    </row>
    <row r="47" spans="1:20" ht="15.75" customHeight="1">
      <c r="A47" s="15" t="s">
        <v>10</v>
      </c>
      <c r="B47" s="11">
        <v>64.428467918333098</v>
      </c>
      <c r="C47" s="11">
        <v>66.595635967207627</v>
      </c>
      <c r="D47" s="11">
        <v>2.1671680488746761</v>
      </c>
      <c r="E47" s="12" t="str">
        <f>IF(       0.46&lt;0.01,"***",IF(       0.46&lt;0.05,"**",IF(       0.46&lt;0.1,"*","NS")))</f>
        <v>NS</v>
      </c>
      <c r="G47" s="15" t="s">
        <v>10</v>
      </c>
      <c r="H47" s="11">
        <v>64.428467918333098</v>
      </c>
      <c r="I47" s="11">
        <v>66.875704647731553</v>
      </c>
      <c r="J47" s="11">
        <v>2.4472367293984076</v>
      </c>
      <c r="K47" s="12" t="str">
        <f>IF(       0.455&lt;0.01,"***",IF(       0.455&lt;0.05,"**",IF(       0.455&lt;0.1,"*","NS")))</f>
        <v>NS</v>
      </c>
      <c r="L47" s="11">
        <v>65.812462322363046</v>
      </c>
      <c r="M47" s="11">
        <v>1.3839944040300909</v>
      </c>
      <c r="N47" s="12" t="str">
        <f>IF(       0.745&lt;0.01,"***",IF(       0.745&lt;0.05,"**",IF(       0.745&lt;0.1,"*","NS")))</f>
        <v>NS</v>
      </c>
      <c r="P47" s="15" t="s">
        <v>10</v>
      </c>
      <c r="Q47" s="11">
        <v>64.552175444643041</v>
      </c>
      <c r="R47" s="11">
        <v>65.812462322363046</v>
      </c>
      <c r="S47" s="11">
        <v>1.2602868777201259</v>
      </c>
      <c r="T47" s="12" t="str">
        <f>IF(       0.765&lt;0.01,"***",IF(       0.765&lt;0.05,"**",IF(       0.765&lt;0.1,"*","NS")))</f>
        <v>NS</v>
      </c>
    </row>
    <row r="48" spans="1:20" ht="15.75" customHeight="1"/>
    <row r="49" spans="1:20" ht="15.75" customHeight="1">
      <c r="A49" s="15" t="s">
        <v>170</v>
      </c>
      <c r="G49" s="15" t="s">
        <v>171</v>
      </c>
      <c r="P49" s="15" t="s">
        <v>172</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57.266889622007263</v>
      </c>
      <c r="C51" s="11">
        <v>61.431837427169448</v>
      </c>
      <c r="D51" s="11">
        <v>4.1649478051621633</v>
      </c>
      <c r="E51" s="12" t="str">
        <f>IF(       0.208&lt;0.01,"***",IF(       0.208&lt;0.05,"**",IF(       0.208&lt;0.1,"*","NS")))</f>
        <v>NS</v>
      </c>
      <c r="G51" s="15" t="s">
        <v>5</v>
      </c>
      <c r="H51" s="11">
        <v>57.266889622007263</v>
      </c>
      <c r="I51" s="11">
        <v>61.604050176512317</v>
      </c>
      <c r="J51" s="11">
        <v>4.3371605545050773</v>
      </c>
      <c r="K51" s="12" t="str">
        <f>IF(       0.177&lt;0.01,"***",IF(       0.177&lt;0.05,"**",IF(       0.177&lt;0.1,"*","NS")))</f>
        <v>NS</v>
      </c>
      <c r="L51" s="11">
        <v>61.171395237130042</v>
      </c>
      <c r="M51" s="11">
        <v>3.9045056151228312</v>
      </c>
      <c r="N51" s="12" t="str">
        <f>IF(       0.435&lt;0.01,"***",IF(       0.435&lt;0.05,"**",IF(       0.435&lt;0.1,"*","NS")))</f>
        <v>NS</v>
      </c>
      <c r="P51" s="15" t="s">
        <v>5</v>
      </c>
      <c r="Q51" s="11">
        <v>58.345656353689613</v>
      </c>
      <c r="R51" s="11">
        <v>61.171395237130042</v>
      </c>
      <c r="S51" s="11">
        <v>2.8257388834403852</v>
      </c>
      <c r="T51" s="12" t="str">
        <f>IF(       0.548&lt;0.01,"***",IF(       0.548&lt;0.05,"**",IF(       0.548&lt;0.1,"*","NS")))</f>
        <v>NS</v>
      </c>
    </row>
    <row r="52" spans="1:20" ht="15.75" customHeight="1">
      <c r="A52" s="15" t="s">
        <v>6</v>
      </c>
      <c r="B52" s="11">
        <v>57.728598035387151</v>
      </c>
      <c r="C52" s="11">
        <v>62.228721197568291</v>
      </c>
      <c r="D52" s="11">
        <v>4.5001231621811435</v>
      </c>
      <c r="E52" s="12" t="str">
        <f>IF(       0.138&lt;0.01,"***",IF(       0.138&lt;0.05,"**",IF(       0.138&lt;0.1,"*","NS")))</f>
        <v>NS</v>
      </c>
      <c r="G52" s="15" t="s">
        <v>6</v>
      </c>
      <c r="H52" s="11">
        <v>57.728598035387151</v>
      </c>
      <c r="I52" s="11">
        <v>60.178128458576992</v>
      </c>
      <c r="J52" s="11">
        <v>2.4495304231898181</v>
      </c>
      <c r="K52" s="12" t="str">
        <f>IF(       0.455&lt;0.01,"***",IF(       0.455&lt;0.05,"**",IF(       0.455&lt;0.1,"*","NS")))</f>
        <v>NS</v>
      </c>
      <c r="L52" s="11">
        <v>67.184908653661282</v>
      </c>
      <c r="M52" s="11">
        <v>9.4563106182741397</v>
      </c>
      <c r="N52" s="12" t="str">
        <f>IF(       0.059&lt;0.01,"***",IF(       0.059&lt;0.05,"**",IF(       0.059&lt;0.1,"*","NS")))</f>
        <v>*</v>
      </c>
      <c r="P52" s="15" t="s">
        <v>6</v>
      </c>
      <c r="Q52" s="11">
        <v>58.302057613542267</v>
      </c>
      <c r="R52" s="11">
        <v>67.184908653661282</v>
      </c>
      <c r="S52" s="11">
        <v>8.8828510401189575</v>
      </c>
      <c r="T52" s="12" t="str">
        <f>IF(       0.07&lt;0.01,"***",IF(       0.07&lt;0.05,"**",IF(       0.07&lt;0.1,"*","NS")))</f>
        <v>*</v>
      </c>
    </row>
    <row r="53" spans="1:20" ht="15.75" customHeight="1">
      <c r="A53" s="15" t="s">
        <v>7</v>
      </c>
      <c r="B53" s="11">
        <v>72.915132480801859</v>
      </c>
      <c r="C53" s="11">
        <v>76.910690293025539</v>
      </c>
      <c r="D53" s="11">
        <v>3.9955578122237627</v>
      </c>
      <c r="E53" s="12" t="str">
        <f>IF(       0.368&lt;0.01,"***",IF(       0.368&lt;0.05,"**",IF(       0.368&lt;0.1,"*","NS")))</f>
        <v>NS</v>
      </c>
      <c r="G53" s="15" t="s">
        <v>7</v>
      </c>
      <c r="H53" s="11">
        <v>72.915132480801859</v>
      </c>
      <c r="I53" s="11">
        <v>75.771964715586563</v>
      </c>
      <c r="J53" s="11">
        <v>2.8568322347846844</v>
      </c>
      <c r="K53" s="12" t="str">
        <f>IF(       0.588&lt;0.01,"***",IF(       0.588&lt;0.05,"**",IF(       0.588&lt;0.1,"*","NS")))</f>
        <v>NS</v>
      </c>
      <c r="L53" s="11">
        <v>78.940507303216322</v>
      </c>
      <c r="M53" s="11">
        <v>6.0253748224144434</v>
      </c>
      <c r="N53" s="12" t="str">
        <f>IF(       0.234&lt;0.01,"***",IF(       0.234&lt;0.05,"**",IF(       0.234&lt;0.1,"*","NS")))</f>
        <v>NS</v>
      </c>
      <c r="P53" s="15" t="s">
        <v>7</v>
      </c>
      <c r="Q53" s="11">
        <v>73.639674021663254</v>
      </c>
      <c r="R53" s="11">
        <v>78.940507303216322</v>
      </c>
      <c r="S53" s="11">
        <v>5.3008332815530688</v>
      </c>
      <c r="T53" s="12" t="str">
        <f>IF(       0.263&lt;0.01,"***",IF(       0.263&lt;0.05,"**",IF(       0.263&lt;0.1,"*","NS")))</f>
        <v>NS</v>
      </c>
    </row>
    <row r="54" spans="1:20" ht="15.75" customHeight="1">
      <c r="A54" s="15" t="s">
        <v>8</v>
      </c>
      <c r="B54" s="11">
        <v>44.066222671079323</v>
      </c>
      <c r="C54" s="11">
        <v>47.435653964414243</v>
      </c>
      <c r="D54" s="11">
        <v>3.369431293334971</v>
      </c>
      <c r="E54" s="12" t="str">
        <f>IF(       0.205&lt;0.01,"***",IF(       0.205&lt;0.05,"**",IF(       0.205&lt;0.1,"*","NS")))</f>
        <v>NS</v>
      </c>
      <c r="G54" s="15" t="s">
        <v>8</v>
      </c>
      <c r="H54" s="11">
        <v>44.066222671079323</v>
      </c>
      <c r="I54" s="11">
        <v>46.364650512759603</v>
      </c>
      <c r="J54" s="11">
        <v>2.2984278416802848</v>
      </c>
      <c r="K54" s="12" t="str">
        <f>IF(       0.482&lt;0.01,"***",IF(       0.482&lt;0.05,"**",IF(       0.482&lt;0.1,"*","NS")))</f>
        <v>NS</v>
      </c>
      <c r="L54" s="11">
        <v>49.582610833999553</v>
      </c>
      <c r="M54" s="11">
        <v>5.516388162920232</v>
      </c>
      <c r="N54" s="12" t="str">
        <f>IF(       0.236&lt;0.01,"***",IF(       0.236&lt;0.05,"**",IF(       0.236&lt;0.1,"*","NS")))</f>
        <v>NS</v>
      </c>
      <c r="P54" s="15" t="s">
        <v>8</v>
      </c>
      <c r="Q54" s="11">
        <v>44.512141698842427</v>
      </c>
      <c r="R54" s="11">
        <v>49.582610833999553</v>
      </c>
      <c r="S54" s="11">
        <v>5.07046913515713</v>
      </c>
      <c r="T54" s="12" t="str">
        <f>IF(       0.281&lt;0.01,"***",IF(       0.281&lt;0.05,"**",IF(       0.281&lt;0.1,"*","NS")))</f>
        <v>NS</v>
      </c>
    </row>
    <row r="55" spans="1:20" ht="15.75" customHeight="1">
      <c r="A55" s="15" t="s">
        <v>10</v>
      </c>
      <c r="B55" s="11">
        <v>60.961707545585682</v>
      </c>
      <c r="C55" s="11">
        <v>66.098400813705382</v>
      </c>
      <c r="D55" s="11">
        <v>5.1366932681196449</v>
      </c>
      <c r="E55" s="12" t="str">
        <f>IF(       0.019&lt;0.01,"***",IF(       0.019&lt;0.05,"**",IF(       0.019&lt;0.1,"*","NS")))</f>
        <v>**</v>
      </c>
      <c r="G55" s="15" t="s">
        <v>10</v>
      </c>
      <c r="H55" s="11">
        <v>60.961707545585682</v>
      </c>
      <c r="I55" s="11">
        <v>65.118697690443042</v>
      </c>
      <c r="J55" s="11">
        <v>4.1569901448573043</v>
      </c>
      <c r="K55" s="12" t="str">
        <f>IF(       0.083&lt;0.01,"***",IF(       0.083&lt;0.05,"**",IF(       0.083&lt;0.1,"*","NS")))</f>
        <v>*</v>
      </c>
      <c r="L55" s="11">
        <v>67.858145293569024</v>
      </c>
      <c r="M55" s="11">
        <v>6.8964377479834269</v>
      </c>
      <c r="N55" s="12" t="str">
        <f>IF(       0.017&lt;0.01,"***",IF(       0.017&lt;0.05,"**",IF(       0.017&lt;0.1,"*","NS")))</f>
        <v>**</v>
      </c>
      <c r="P55" s="15" t="s">
        <v>10</v>
      </c>
      <c r="Q55" s="11">
        <v>61.955629458749051</v>
      </c>
      <c r="R55" s="11">
        <v>67.858145293569024</v>
      </c>
      <c r="S55" s="11">
        <v>5.9025158348201598</v>
      </c>
      <c r="T55" s="12" t="str">
        <f>IF(       0.03&lt;0.01,"***",IF(       0.03&lt;0.05,"**",IF(       0.03&lt;0.1,"*","NS")))</f>
        <v>**</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173</v>
      </c>
      <c r="G1" s="15" t="s">
        <v>174</v>
      </c>
      <c r="P1" s="15" t="s">
        <v>175</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56.690101791479798</v>
      </c>
      <c r="C3" s="11">
        <v>53.803056252688293</v>
      </c>
      <c r="D3" s="11">
        <v>-2.8870455387914262</v>
      </c>
      <c r="E3" s="12" t="str">
        <f>IF(       0.294&lt;0.01,"***",IF(       0.294&lt;0.05,"**",IF(       0.294&lt;0.1,"*","NS")))</f>
        <v>NS</v>
      </c>
      <c r="G3" s="15" t="s">
        <v>5</v>
      </c>
      <c r="H3" s="11">
        <v>56.690101791479798</v>
      </c>
      <c r="I3" s="11">
        <v>55.850271682393299</v>
      </c>
      <c r="J3" s="11">
        <v>-0.83983010908648981</v>
      </c>
      <c r="K3" s="12" t="str">
        <f>IF(       0.802&lt;0.01,"***",IF(       0.802&lt;0.05,"**",IF(       0.802&lt;0.1,"*","NS")))</f>
        <v>NS</v>
      </c>
      <c r="L3" s="11">
        <v>50.706490449454641</v>
      </c>
      <c r="M3" s="11">
        <v>-5.983611342025287</v>
      </c>
      <c r="N3" s="12" t="str">
        <f>IF(       0.064&lt;0.01,"***",IF(       0.064&lt;0.05,"**",IF(       0.064&lt;0.1,"*","NS")))</f>
        <v>*</v>
      </c>
      <c r="P3" s="15" t="s">
        <v>5</v>
      </c>
      <c r="Q3" s="11">
        <v>56.613206573746801</v>
      </c>
      <c r="R3" s="11">
        <v>50.706490449454641</v>
      </c>
      <c r="S3" s="11">
        <v>-5.9067161242918527</v>
      </c>
      <c r="T3" s="12" t="str">
        <f>IF(       0.06&lt;0.01,"***",IF(       0.06&lt;0.05,"**",IF(       0.06&lt;0.1,"*","NS")))</f>
        <v>*</v>
      </c>
    </row>
    <row r="4" spans="1:20">
      <c r="A4" s="15" t="s">
        <v>6</v>
      </c>
      <c r="B4" s="11">
        <v>63.500232405192243</v>
      </c>
      <c r="C4" s="11">
        <v>61.010696818946819</v>
      </c>
      <c r="D4" s="11">
        <v>-2.489535586245331</v>
      </c>
      <c r="E4" s="12" t="str">
        <f>IF(       0.46&lt;0.01,"***",IF(       0.46&lt;0.05,"**",IF(       0.46&lt;0.1,"*","NS")))</f>
        <v>NS</v>
      </c>
      <c r="G4" s="15" t="s">
        <v>6</v>
      </c>
      <c r="H4" s="11">
        <v>63.500232405192243</v>
      </c>
      <c r="I4" s="11">
        <v>60.969242255781467</v>
      </c>
      <c r="J4" s="11">
        <v>-2.5309901494107305</v>
      </c>
      <c r="K4" s="12" t="str">
        <f>IF(       0.469&lt;0.01,"***",IF(       0.469&lt;0.05,"**",IF(       0.469&lt;0.1,"*","NS")))</f>
        <v>NS</v>
      </c>
      <c r="L4" s="11">
        <v>61.116439418006607</v>
      </c>
      <c r="M4" s="11">
        <v>-2.3837929871855361</v>
      </c>
      <c r="N4" s="12" t="str">
        <f>IF(       0.609&lt;0.01,"***",IF(       0.609&lt;0.05,"**",IF(       0.609&lt;0.1,"*","NS")))</f>
        <v>NS</v>
      </c>
      <c r="P4" s="15" t="s">
        <v>6</v>
      </c>
      <c r="Q4" s="11">
        <v>63.262096165891279</v>
      </c>
      <c r="R4" s="11">
        <v>61.116439418006607</v>
      </c>
      <c r="S4" s="11">
        <v>-2.1456567478848059</v>
      </c>
      <c r="T4" s="12" t="str">
        <f>IF(       0.633&lt;0.01,"***",IF(       0.633&lt;0.05,"**",IF(       0.633&lt;0.1,"*","NS")))</f>
        <v>NS</v>
      </c>
    </row>
    <row r="5" spans="1:20">
      <c r="A5" s="15" t="s">
        <v>7</v>
      </c>
      <c r="B5" s="11">
        <v>92.503115808519667</v>
      </c>
      <c r="C5" s="11">
        <v>90.716255695862216</v>
      </c>
      <c r="D5" s="11">
        <v>-1.7868601126574877</v>
      </c>
      <c r="E5" s="12" t="str">
        <f>IF(       0.084&lt;0.01,"***",IF(       0.084&lt;0.05,"**",IF(       0.084&lt;0.1,"*","NS")))</f>
        <v>*</v>
      </c>
      <c r="G5" s="15" t="s">
        <v>7</v>
      </c>
      <c r="H5" s="11">
        <v>92.503115808519667</v>
      </c>
      <c r="I5" s="11">
        <v>92.175075752361224</v>
      </c>
      <c r="J5" s="11">
        <v>-0.32804005615843024</v>
      </c>
      <c r="K5" s="12" t="str">
        <f>IF(       0.769&lt;0.01,"***",IF(       0.769&lt;0.05,"**",IF(       0.769&lt;0.1,"*","NS")))</f>
        <v>NS</v>
      </c>
      <c r="L5" s="11">
        <v>87.381346963147038</v>
      </c>
      <c r="M5" s="11">
        <v>-5.1217688453725376</v>
      </c>
      <c r="N5" s="12" t="str">
        <f>IF(       0.039&lt;0.01,"***",IF(       0.039&lt;0.05,"**",IF(       0.039&lt;0.1,"*","NS")))</f>
        <v>**</v>
      </c>
      <c r="P5" s="15" t="s">
        <v>7</v>
      </c>
      <c r="Q5" s="11">
        <v>92.464624267496561</v>
      </c>
      <c r="R5" s="11">
        <v>87.381346963147038</v>
      </c>
      <c r="S5" s="11">
        <v>-5.083277304349421</v>
      </c>
      <c r="T5" s="12" t="str">
        <f>IF(       0.041&lt;0.01,"***",IF(       0.041&lt;0.05,"**",IF(       0.041&lt;0.1,"*","NS")))</f>
        <v>**</v>
      </c>
    </row>
    <row r="6" spans="1:20">
      <c r="A6" s="15" t="s">
        <v>8</v>
      </c>
      <c r="B6" s="11">
        <v>45.580330996430803</v>
      </c>
      <c r="C6" s="11">
        <v>42.647201560870087</v>
      </c>
      <c r="D6" s="11">
        <v>-2.933129435560617</v>
      </c>
      <c r="E6" s="12" t="str">
        <f>IF(       0.223&lt;0.01,"***",IF(       0.223&lt;0.05,"**",IF(       0.223&lt;0.1,"*","NS")))</f>
        <v>NS</v>
      </c>
      <c r="G6" s="15" t="s">
        <v>8</v>
      </c>
      <c r="H6" s="11">
        <v>45.580330996430803</v>
      </c>
      <c r="I6" s="11">
        <v>43.484194930917532</v>
      </c>
      <c r="J6" s="11">
        <v>-2.0961360655132917</v>
      </c>
      <c r="K6" s="12" t="str">
        <f>IF(       0.486&lt;0.01,"***",IF(       0.486&lt;0.05,"**",IF(       0.486&lt;0.1,"*","NS")))</f>
        <v>NS</v>
      </c>
      <c r="L6" s="11">
        <v>40.654002606933382</v>
      </c>
      <c r="M6" s="11">
        <v>-4.926328389497395</v>
      </c>
      <c r="N6" s="12" t="str">
        <f>IF(       0.095&lt;0.01,"***",IF(       0.095&lt;0.05,"**",IF(       0.095&lt;0.1,"*","NS")))</f>
        <v>*</v>
      </c>
      <c r="P6" s="15" t="s">
        <v>8</v>
      </c>
      <c r="Q6" s="11">
        <v>45.38995714823718</v>
      </c>
      <c r="R6" s="11">
        <v>40.654002606933382</v>
      </c>
      <c r="S6" s="11">
        <v>-4.7359545413038191</v>
      </c>
      <c r="T6" s="12" t="str">
        <f>IF(       0.106&lt;0.01,"***",IF(       0.106&lt;0.05,"**",IF(       0.106&lt;0.1,"*","NS")))</f>
        <v>NS</v>
      </c>
    </row>
    <row r="7" spans="1:20">
      <c r="A7" s="15" t="s">
        <v>10</v>
      </c>
      <c r="B7" s="11">
        <v>70.135714313041689</v>
      </c>
      <c r="C7" s="11">
        <v>69.726308264368512</v>
      </c>
      <c r="D7" s="11">
        <v>-0.40940604867319202</v>
      </c>
      <c r="E7" s="12" t="str">
        <f>IF(       0.773&lt;0.01,"***",IF(       0.773&lt;0.05,"**",IF(       0.773&lt;0.1,"*","NS")))</f>
        <v>NS</v>
      </c>
      <c r="G7" s="15" t="s">
        <v>10</v>
      </c>
      <c r="H7" s="11">
        <v>70.135714313041689</v>
      </c>
      <c r="I7" s="11">
        <v>71.564290157424409</v>
      </c>
      <c r="J7" s="11">
        <v>1.4285758443826611</v>
      </c>
      <c r="K7" s="12" t="str">
        <f>IF(       0.357&lt;0.01,"***",IF(       0.357&lt;0.05,"**",IF(       0.357&lt;0.1,"*","NS")))</f>
        <v>NS</v>
      </c>
      <c r="L7" s="11">
        <v>65.937481789808572</v>
      </c>
      <c r="M7" s="11">
        <v>-4.1982325232332611</v>
      </c>
      <c r="N7" s="12" t="str">
        <f>IF(       0.059&lt;0.01,"***",IF(       0.059&lt;0.05,"**",IF(       0.059&lt;0.1,"*","NS")))</f>
        <v>*</v>
      </c>
      <c r="P7" s="15" t="s">
        <v>10</v>
      </c>
      <c r="Q7" s="11">
        <v>70.281580562613541</v>
      </c>
      <c r="R7" s="11">
        <v>65.937481789808572</v>
      </c>
      <c r="S7" s="11">
        <v>-4.3440987728050713</v>
      </c>
      <c r="T7" s="12" t="str">
        <f>IF(       0.047&lt;0.01,"***",IF(       0.047&lt;0.05,"**",IF(       0.047&lt;0.1,"*","NS")))</f>
        <v>**</v>
      </c>
    </row>
    <row r="9" spans="1:20">
      <c r="A9" s="15" t="s">
        <v>176</v>
      </c>
      <c r="G9" s="15" t="s">
        <v>177</v>
      </c>
      <c r="P9" s="15" t="s">
        <v>178</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57.772345879002827</v>
      </c>
      <c r="C11" s="11">
        <v>57.268528791588068</v>
      </c>
      <c r="D11" s="11">
        <v>-0.50381708741474973</v>
      </c>
      <c r="E11" s="12" t="str">
        <f>IF(       0.868&lt;0.01,"***",IF(       0.868&lt;0.05,"**",IF(       0.868&lt;0.1,"*","NS")))</f>
        <v>NS</v>
      </c>
      <c r="G11" s="15" t="s">
        <v>5</v>
      </c>
      <c r="H11" s="11">
        <v>57.772345879002827</v>
      </c>
      <c r="I11" s="11">
        <v>62.408806732284688</v>
      </c>
      <c r="J11" s="11">
        <v>4.6364608532818918</v>
      </c>
      <c r="K11" s="12" t="str">
        <f>IF(       0.226&lt;0.01,"***",IF(       0.226&lt;0.05,"**",IF(       0.226&lt;0.1,"*","NS")))</f>
        <v>NS</v>
      </c>
      <c r="L11" s="11">
        <v>49.350477013145998</v>
      </c>
      <c r="M11" s="11">
        <v>-8.4218688658568688</v>
      </c>
      <c r="N11" s="12" t="str">
        <f>IF(       0.029&lt;0.01,"***",IF(       0.029&lt;0.05,"**",IF(       0.029&lt;0.1,"*","NS")))</f>
        <v>**</v>
      </c>
      <c r="P11" s="15" t="s">
        <v>5</v>
      </c>
      <c r="Q11" s="11">
        <v>58.1920867275932</v>
      </c>
      <c r="R11" s="11">
        <v>49.350477013145998</v>
      </c>
      <c r="S11" s="11">
        <v>-8.8416097144471806</v>
      </c>
      <c r="T11" s="12" t="str">
        <f>IF(       0.02&lt;0.01,"***",IF(       0.02&lt;0.05,"**",IF(       0.02&lt;0.1,"*","NS")))</f>
        <v>**</v>
      </c>
    </row>
    <row r="12" spans="1:20">
      <c r="A12" s="15" t="s">
        <v>6</v>
      </c>
      <c r="B12" s="11">
        <v>63.759659520762177</v>
      </c>
      <c r="C12" s="11">
        <v>65.365128239855295</v>
      </c>
      <c r="D12" s="11">
        <v>1.6054687190931185</v>
      </c>
      <c r="E12" s="12" t="str">
        <f>IF(       0.678&lt;0.01,"***",IF(       0.678&lt;0.05,"**",IF(       0.678&lt;0.1,"*","NS")))</f>
        <v>NS</v>
      </c>
      <c r="G12" s="15" t="s">
        <v>6</v>
      </c>
      <c r="H12" s="11">
        <v>63.759659520762177</v>
      </c>
      <c r="I12" s="11">
        <v>66.132915541248551</v>
      </c>
      <c r="J12" s="11">
        <v>2.373256020486362</v>
      </c>
      <c r="K12" s="12" t="str">
        <f>IF(       0.57&lt;0.01,"***",IF(       0.57&lt;0.05,"**",IF(       0.57&lt;0.1,"*","NS")))</f>
        <v>NS</v>
      </c>
      <c r="L12" s="11">
        <v>63.263624996462553</v>
      </c>
      <c r="M12" s="11">
        <v>-0.49603452429963468</v>
      </c>
      <c r="N12" s="12" t="str">
        <f>IF(       0.927&lt;0.01,"***",IF(       0.927&lt;0.05,"**",IF(       0.927&lt;0.1,"*","NS")))</f>
        <v>NS</v>
      </c>
      <c r="P12" s="15" t="s">
        <v>6</v>
      </c>
      <c r="Q12" s="11">
        <v>63.974547039749673</v>
      </c>
      <c r="R12" s="11">
        <v>63.263624996462553</v>
      </c>
      <c r="S12" s="11">
        <v>-0.71092204328709585</v>
      </c>
      <c r="T12" s="12" t="str">
        <f>IF(       0.894&lt;0.01,"***",IF(       0.894&lt;0.05,"**",IF(       0.894&lt;0.1,"*","NS")))</f>
        <v>NS</v>
      </c>
    </row>
    <row r="13" spans="1:20">
      <c r="A13" s="15" t="s">
        <v>7</v>
      </c>
      <c r="B13" s="11">
        <v>92.084363993006605</v>
      </c>
      <c r="C13" s="11">
        <v>92.182378790142067</v>
      </c>
      <c r="D13" s="11">
        <v>9.8014797135470122E-2</v>
      </c>
      <c r="E13" s="12" t="str">
        <f>IF(       0.94&lt;0.01,"***",IF(       0.94&lt;0.05,"**",IF(       0.94&lt;0.1,"*","NS")))</f>
        <v>NS</v>
      </c>
      <c r="G13" s="15" t="s">
        <v>7</v>
      </c>
      <c r="H13" s="11">
        <v>92.084363993006605</v>
      </c>
      <c r="I13" s="11">
        <v>93.605152900980741</v>
      </c>
      <c r="J13" s="11">
        <v>1.5207889079741428</v>
      </c>
      <c r="K13" s="12" t="str">
        <f>IF(       0.188&lt;0.01,"***",IF(       0.188&lt;0.05,"**",IF(       0.188&lt;0.1,"*","NS")))</f>
        <v>NS</v>
      </c>
      <c r="L13" s="11">
        <v>88.556844476828886</v>
      </c>
      <c r="M13" s="11">
        <v>-3.5275195161776733</v>
      </c>
      <c r="N13" s="12" t="str">
        <f>IF(       0.243&lt;0.01,"***",IF(       0.243&lt;0.05,"**",IF(       0.243&lt;0.1,"*","NS")))</f>
        <v>NS</v>
      </c>
      <c r="P13" s="15" t="s">
        <v>7</v>
      </c>
      <c r="Q13" s="11">
        <v>92.294196978403761</v>
      </c>
      <c r="R13" s="11">
        <v>88.556844476828886</v>
      </c>
      <c r="S13" s="11">
        <v>-3.7373525015749358</v>
      </c>
      <c r="T13" s="12" t="str">
        <f>IF(       0.21&lt;0.01,"***",IF(       0.21&lt;0.05,"**",IF(       0.21&lt;0.1,"*","NS")))</f>
        <v>NS</v>
      </c>
    </row>
    <row r="14" spans="1:20">
      <c r="A14" s="15" t="s">
        <v>8</v>
      </c>
      <c r="B14" s="11">
        <v>45.228191674595273</v>
      </c>
      <c r="C14" s="11">
        <v>43.933300870257668</v>
      </c>
      <c r="D14" s="11">
        <v>-1.2948908043376324</v>
      </c>
      <c r="E14" s="12" t="str">
        <f>IF(       0.616&lt;0.01,"***",IF(       0.616&lt;0.05,"**",IF(       0.616&lt;0.1,"*","NS")))</f>
        <v>NS</v>
      </c>
      <c r="G14" s="15" t="s">
        <v>8</v>
      </c>
      <c r="H14" s="11">
        <v>45.228191674595273</v>
      </c>
      <c r="I14" s="11">
        <v>46.728499575557578</v>
      </c>
      <c r="J14" s="11">
        <v>1.5003079009622196</v>
      </c>
      <c r="K14" s="12" t="str">
        <f>IF(       0.644&lt;0.01,"***",IF(       0.644&lt;0.05,"**",IF(       0.644&lt;0.1,"*","NS")))</f>
        <v>NS</v>
      </c>
      <c r="L14" s="11">
        <v>36.870064778152233</v>
      </c>
      <c r="M14" s="11">
        <v>-8.3581268964430677</v>
      </c>
      <c r="N14" s="12" t="str">
        <f>IF(       0.061&lt;0.01,"***",IF(       0.061&lt;0.05,"**",IF(       0.061&lt;0.1,"*","NS")))</f>
        <v>*</v>
      </c>
      <c r="P14" s="15" t="s">
        <v>8</v>
      </c>
      <c r="Q14" s="11">
        <v>45.36380150698885</v>
      </c>
      <c r="R14" s="11">
        <v>36.870064778152233</v>
      </c>
      <c r="S14" s="11">
        <v>-8.4937367288366445</v>
      </c>
      <c r="T14" s="12" t="str">
        <f>IF(       0.058&lt;0.01,"***",IF(       0.058&lt;0.05,"**",IF(       0.058&lt;0.1,"*","NS")))</f>
        <v>*</v>
      </c>
    </row>
    <row r="15" spans="1:20">
      <c r="A15" s="15" t="s">
        <v>10</v>
      </c>
      <c r="B15" s="11">
        <v>69.851603862410258</v>
      </c>
      <c r="C15" s="11">
        <v>73.259714787272472</v>
      </c>
      <c r="D15" s="11">
        <v>3.4081109248622585</v>
      </c>
      <c r="E15" s="12" t="str">
        <f>IF(       0.027&lt;0.01,"***",IF(       0.027&lt;0.05,"**",IF(       0.027&lt;0.1,"*","NS")))</f>
        <v>**</v>
      </c>
      <c r="G15" s="15" t="s">
        <v>10</v>
      </c>
      <c r="H15" s="11">
        <v>69.851603862410258</v>
      </c>
      <c r="I15" s="11">
        <v>76.391953786625791</v>
      </c>
      <c r="J15" s="11">
        <v>6.5403499242155601</v>
      </c>
      <c r="K15" s="12" t="str">
        <f>IF(       0&lt;0.01,"***",IF(       0&lt;0.05,"**",IF(       0&lt;0.1,"*","NS")))</f>
        <v>***</v>
      </c>
      <c r="L15" s="11">
        <v>66.340921780298743</v>
      </c>
      <c r="M15" s="11">
        <v>-3.5106820821115581</v>
      </c>
      <c r="N15" s="12" t="str">
        <f>IF(       0.181&lt;0.01,"***",IF(       0.181&lt;0.05,"**",IF(       0.181&lt;0.1,"*","NS")))</f>
        <v>NS</v>
      </c>
      <c r="P15" s="15" t="s">
        <v>10</v>
      </c>
      <c r="Q15" s="11">
        <v>70.563600089553816</v>
      </c>
      <c r="R15" s="11">
        <v>66.340921780298743</v>
      </c>
      <c r="S15" s="11">
        <v>-4.2226783092550724</v>
      </c>
      <c r="T15" s="12" t="str">
        <f>IF(       0.102&lt;0.01,"***",IF(       0.102&lt;0.05,"**",IF(       0.102&lt;0.1,"*","NS")))</f>
        <v>NS</v>
      </c>
    </row>
    <row r="17" spans="1:20">
      <c r="A17" s="15" t="s">
        <v>179</v>
      </c>
      <c r="G17" s="15" t="s">
        <v>180</v>
      </c>
      <c r="P17" s="15" t="s">
        <v>181</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55.081769821726184</v>
      </c>
      <c r="C19" s="11">
        <v>48.895241866322273</v>
      </c>
      <c r="D19" s="11">
        <v>-6.1865279554039088</v>
      </c>
      <c r="E19" s="12" t="str">
        <f>IF(       0.104&lt;0.01,"***",IF(       0.104&lt;0.05,"**",IF(       0.104&lt;0.1,"*","NS")))</f>
        <v>NS</v>
      </c>
      <c r="G19" s="15" t="s">
        <v>5</v>
      </c>
      <c r="H19" s="11">
        <v>55.081769821726184</v>
      </c>
      <c r="I19" s="11">
        <v>46.397890615360247</v>
      </c>
      <c r="J19" s="11">
        <v>-8.6838792063660364</v>
      </c>
      <c r="K19" s="12" t="str">
        <f>IF(       0.053&lt;0.01,"***",IF(       0.053&lt;0.05,"**",IF(       0.053&lt;0.1,"*","NS")))</f>
        <v>*</v>
      </c>
      <c r="L19" s="11">
        <v>52.576845316187708</v>
      </c>
      <c r="M19" s="11">
        <v>-2.5049245055385221</v>
      </c>
      <c r="N19" s="12" t="str">
        <f>IF(       0.588&lt;0.01,"***",IF(       0.588&lt;0.05,"**",IF(       0.588&lt;0.1,"*","NS")))</f>
        <v>NS</v>
      </c>
      <c r="P19" s="15" t="s">
        <v>5</v>
      </c>
      <c r="Q19" s="11">
        <v>54.27341497578324</v>
      </c>
      <c r="R19" s="11">
        <v>52.576845316187708</v>
      </c>
      <c r="S19" s="11">
        <v>-1.6965696595955866</v>
      </c>
      <c r="T19" s="12" t="str">
        <f>IF(       0.704&lt;0.01,"***",IF(       0.704&lt;0.05,"**",IF(       0.704&lt;0.1,"*","NS")))</f>
        <v>NS</v>
      </c>
    </row>
    <row r="20" spans="1:20">
      <c r="A20" s="15" t="s">
        <v>6</v>
      </c>
      <c r="B20" s="11">
        <v>63.135265856798277</v>
      </c>
      <c r="C20" s="11">
        <v>55.697768693565394</v>
      </c>
      <c r="D20" s="11">
        <v>-7.4374971632329281</v>
      </c>
      <c r="E20" s="12" t="str">
        <f>IF(       0.094&lt;0.01,"***",IF(       0.094&lt;0.05,"**",IF(       0.094&lt;0.1,"*","NS")))</f>
        <v>*</v>
      </c>
      <c r="G20" s="15" t="s">
        <v>6</v>
      </c>
      <c r="H20" s="11">
        <v>63.135265856798277</v>
      </c>
      <c r="I20" s="11">
        <v>54.388927625664863</v>
      </c>
      <c r="J20" s="11">
        <v>-8.7463382311333877</v>
      </c>
      <c r="K20" s="12" t="str">
        <f>IF(       0.051&lt;0.01,"***",IF(       0.051&lt;0.05,"**",IF(       0.051&lt;0.1,"*","NS")))</f>
        <v>*</v>
      </c>
      <c r="L20" s="11">
        <v>58.769920365396189</v>
      </c>
      <c r="M20" s="11">
        <v>-4.3653454914021141</v>
      </c>
      <c r="N20" s="12" t="str">
        <f>IF(       0.497&lt;0.01,"***",IF(       0.497&lt;0.05,"**",IF(       0.497&lt;0.1,"*","NS")))</f>
        <v>NS</v>
      </c>
      <c r="P20" s="15" t="s">
        <v>6</v>
      </c>
      <c r="Q20" s="11">
        <v>62.269153826260627</v>
      </c>
      <c r="R20" s="11">
        <v>58.769920365396189</v>
      </c>
      <c r="S20" s="11">
        <v>-3.4992334608644846</v>
      </c>
      <c r="T20" s="12" t="str">
        <f>IF(       0.572&lt;0.01,"***",IF(       0.572&lt;0.05,"**",IF(       0.572&lt;0.1,"*","NS")))</f>
        <v>NS</v>
      </c>
    </row>
    <row r="21" spans="1:20" ht="15.75" customHeight="1">
      <c r="A21" s="15" t="s">
        <v>7</v>
      </c>
      <c r="B21" s="11">
        <v>92.997015878135741</v>
      </c>
      <c r="C21" s="11">
        <v>88.207100314739435</v>
      </c>
      <c r="D21" s="11">
        <v>-4.7899155633963364</v>
      </c>
      <c r="E21" s="12" t="str">
        <f>IF(       0.053&lt;0.01,"***",IF(       0.053&lt;0.05,"**",IF(       0.053&lt;0.1,"*","NS")))</f>
        <v>*</v>
      </c>
      <c r="G21" s="15" t="s">
        <v>7</v>
      </c>
      <c r="H21" s="11">
        <v>92.997015878135741</v>
      </c>
      <c r="I21" s="11">
        <v>89.500549837921596</v>
      </c>
      <c r="J21" s="11">
        <v>-3.4964660402141985</v>
      </c>
      <c r="K21" s="12" t="str">
        <f>IF(       0.257&lt;0.01,"***",IF(       0.257&lt;0.05,"**",IF(       0.257&lt;0.1,"*","NS")))</f>
        <v>NS</v>
      </c>
      <c r="L21" s="11">
        <v>85.727387128735359</v>
      </c>
      <c r="M21" s="11">
        <v>-7.2696287494004697</v>
      </c>
      <c r="N21" s="12" t="str">
        <f>IF(       0.088&lt;0.01,"***",IF(       0.088&lt;0.05,"**",IF(       0.088&lt;0.1,"*","NS")))</f>
        <v>*</v>
      </c>
      <c r="P21" s="15" t="s">
        <v>7</v>
      </c>
      <c r="Q21" s="11">
        <v>92.676429711910089</v>
      </c>
      <c r="R21" s="11">
        <v>85.727387128735359</v>
      </c>
      <c r="S21" s="11">
        <v>-6.9490425831747498</v>
      </c>
      <c r="T21" s="12" t="str">
        <f>IF(       0.103&lt;0.01,"***",IF(       0.103&lt;0.05,"**",IF(       0.103&lt;0.1,"*","NS")))</f>
        <v>NS</v>
      </c>
    </row>
    <row r="22" spans="1:20" ht="15.75" customHeight="1">
      <c r="A22" s="15" t="s">
        <v>8</v>
      </c>
      <c r="B22" s="11">
        <v>45.989967343020339</v>
      </c>
      <c r="C22" s="11">
        <v>41.221115536773453</v>
      </c>
      <c r="D22" s="11">
        <v>-4.7688518062469161</v>
      </c>
      <c r="E22" s="12" t="str">
        <f>IF(       0.221&lt;0.01,"***",IF(       0.221&lt;0.05,"**",IF(       0.221&lt;0.1,"*","NS")))</f>
        <v>NS</v>
      </c>
      <c r="G22" s="15" t="s">
        <v>8</v>
      </c>
      <c r="H22" s="11">
        <v>45.989967343020339</v>
      </c>
      <c r="I22" s="11">
        <v>39.752726758258397</v>
      </c>
      <c r="J22" s="11">
        <v>-6.2372405847620573</v>
      </c>
      <c r="K22" s="12" t="str">
        <f>IF(       0.167&lt;0.01,"***",IF(       0.167&lt;0.05,"**",IF(       0.167&lt;0.1,"*","NS")))</f>
        <v>NS</v>
      </c>
      <c r="L22" s="11">
        <v>44.500658547743811</v>
      </c>
      <c r="M22" s="11">
        <v>-1.4893087952764943</v>
      </c>
      <c r="N22" s="12" t="str">
        <f>IF(       0.8&lt;0.01,"***",IF(       0.8&lt;0.05,"**",IF(       0.8&lt;0.1,"*","NS")))</f>
        <v>NS</v>
      </c>
      <c r="P22" s="15" t="s">
        <v>8</v>
      </c>
      <c r="Q22" s="11">
        <v>45.420352123285788</v>
      </c>
      <c r="R22" s="11">
        <v>44.500658547743811</v>
      </c>
      <c r="S22" s="11">
        <v>-0.91969357554199416</v>
      </c>
      <c r="T22" s="12" t="str">
        <f>IF(       0.874&lt;0.01,"***",IF(       0.874&lt;0.05,"**",IF(       0.874&lt;0.1,"*","NS")))</f>
        <v>NS</v>
      </c>
    </row>
    <row r="23" spans="1:20" ht="15.75" customHeight="1">
      <c r="A23" s="15" t="s">
        <v>10</v>
      </c>
      <c r="B23" s="11">
        <v>70.503716413157164</v>
      </c>
      <c r="C23" s="11">
        <v>64.578089191178421</v>
      </c>
      <c r="D23" s="11">
        <v>-5.9256272219785906</v>
      </c>
      <c r="E23" s="12" t="str">
        <f>IF(       0.008&lt;0.01,"***",IF(       0.008&lt;0.05,"**",IF(       0.008&lt;0.1,"*","NS")))</f>
        <v>***</v>
      </c>
      <c r="G23" s="15" t="s">
        <v>10</v>
      </c>
      <c r="H23" s="11">
        <v>70.503716413157164</v>
      </c>
      <c r="I23" s="11">
        <v>64.132033258164597</v>
      </c>
      <c r="J23" s="11">
        <v>-6.3716831549926054</v>
      </c>
      <c r="K23" s="12" t="str">
        <f>IF(       0.019&lt;0.01,"***",IF(       0.019&lt;0.05,"**",IF(       0.019&lt;0.1,"*","NS")))</f>
        <v>**</v>
      </c>
      <c r="L23" s="11">
        <v>65.41188136766452</v>
      </c>
      <c r="M23" s="11">
        <v>-5.0918350454924797</v>
      </c>
      <c r="N23" s="12" t="str">
        <f>IF(       0.105&lt;0.01,"***",IF(       0.105&lt;0.05,"**",IF(       0.105&lt;0.1,"*","NS")))</f>
        <v>NS</v>
      </c>
      <c r="P23" s="15" t="s">
        <v>10</v>
      </c>
      <c r="Q23" s="11">
        <v>69.909867148560068</v>
      </c>
      <c r="R23" s="11">
        <v>65.41188136766452</v>
      </c>
      <c r="S23" s="11">
        <v>-4.4979857808956378</v>
      </c>
      <c r="T23" s="12" t="str">
        <f>IF(       0.148&lt;0.01,"***",IF(       0.148&lt;0.05,"**",IF(       0.148&lt;0.1,"*","NS")))</f>
        <v>NS</v>
      </c>
    </row>
    <row r="24" spans="1:20" ht="15.75" customHeight="1"/>
    <row r="25" spans="1:20" ht="15.75" customHeight="1">
      <c r="A25" s="15" t="s">
        <v>182</v>
      </c>
      <c r="G25" s="15" t="s">
        <v>183</v>
      </c>
      <c r="P25" s="15" t="s">
        <v>184</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48.002471174675343</v>
      </c>
      <c r="C27" s="11">
        <v>43.318347026959529</v>
      </c>
      <c r="D27" s="11">
        <v>-4.6841241477158082</v>
      </c>
      <c r="E27" s="12" t="str">
        <f>IF(       0.126&lt;0.01,"***",IF(       0.126&lt;0.05,"**",IF(       0.126&lt;0.1,"*","NS")))</f>
        <v>NS</v>
      </c>
      <c r="G27" s="15" t="s">
        <v>5</v>
      </c>
      <c r="H27" s="11">
        <v>48.002471174675343</v>
      </c>
      <c r="I27" s="11">
        <v>45.089231461642107</v>
      </c>
      <c r="J27" s="11">
        <v>-2.9132397130333114</v>
      </c>
      <c r="K27" s="12" t="str">
        <f>IF(       0.442&lt;0.01,"***",IF(       0.442&lt;0.05,"**",IF(       0.442&lt;0.1,"*","NS")))</f>
        <v>NS</v>
      </c>
      <c r="L27" s="11">
        <v>40.699948592131882</v>
      </c>
      <c r="M27" s="11">
        <v>-7.3025225825438849</v>
      </c>
      <c r="N27" s="12" t="str">
        <f>IF(       0.039&lt;0.01,"***",IF(       0.039&lt;0.05,"**",IF(       0.039&lt;0.1,"*","NS")))</f>
        <v>**</v>
      </c>
      <c r="P27" s="15" t="s">
        <v>5</v>
      </c>
      <c r="Q27" s="11">
        <v>47.739054860815429</v>
      </c>
      <c r="R27" s="11">
        <v>40.699948592131882</v>
      </c>
      <c r="S27" s="11">
        <v>-7.0391062686836054</v>
      </c>
      <c r="T27" s="12" t="str">
        <f>IF(       0.041&lt;0.01,"***",IF(       0.041&lt;0.05,"**",IF(       0.041&lt;0.1,"*","NS")))</f>
        <v>**</v>
      </c>
    </row>
    <row r="28" spans="1:20" ht="15.75" customHeight="1">
      <c r="A28" s="15" t="s">
        <v>6</v>
      </c>
      <c r="B28" s="11">
        <v>50.698603249231788</v>
      </c>
      <c r="C28" s="11">
        <v>46.011204042423998</v>
      </c>
      <c r="D28" s="11">
        <v>-4.6873992068076404</v>
      </c>
      <c r="E28" s="12" t="str">
        <f>IF(       0.223&lt;0.01,"***",IF(       0.223&lt;0.05,"**",IF(       0.223&lt;0.1,"*","NS")))</f>
        <v>NS</v>
      </c>
      <c r="G28" s="15" t="s">
        <v>6</v>
      </c>
      <c r="H28" s="11">
        <v>50.698603249231788</v>
      </c>
      <c r="I28" s="11">
        <v>44.142209730274253</v>
      </c>
      <c r="J28" s="11">
        <v>-6.5563935189575329</v>
      </c>
      <c r="K28" s="12" t="str">
        <f>IF(       0.144&lt;0.01,"***",IF(       0.144&lt;0.05,"**",IF(       0.144&lt;0.1,"*","NS")))</f>
        <v>NS</v>
      </c>
      <c r="L28" s="11">
        <v>50.255506948357798</v>
      </c>
      <c r="M28" s="11">
        <v>-0.44309630087411095</v>
      </c>
      <c r="N28" s="12" t="str">
        <f>IF(       0.924&lt;0.01,"***",IF(       0.924&lt;0.05,"**",IF(       0.924&lt;0.1,"*","NS")))</f>
        <v>NS</v>
      </c>
      <c r="P28" s="15" t="s">
        <v>6</v>
      </c>
      <c r="Q28" s="11">
        <v>50.107714058124991</v>
      </c>
      <c r="R28" s="11">
        <v>50.255506948357798</v>
      </c>
      <c r="S28" s="11">
        <v>0.14779289023283038</v>
      </c>
      <c r="T28" s="12" t="str">
        <f>IF(       0.974&lt;0.01,"***",IF(       0.974&lt;0.05,"**",IF(       0.974&lt;0.1,"*","NS")))</f>
        <v>NS</v>
      </c>
    </row>
    <row r="29" spans="1:20" ht="15.75" customHeight="1">
      <c r="A29" s="15" t="s">
        <v>7</v>
      </c>
      <c r="B29" s="11">
        <v>71.194297823054328</v>
      </c>
      <c r="C29" s="11">
        <v>64.318882954220541</v>
      </c>
      <c r="D29" s="11">
        <v>-6.8754148688337891</v>
      </c>
      <c r="E29" s="12" t="str">
        <f>IF(       0.009&lt;0.01,"***",IF(       0.009&lt;0.05,"**",IF(       0.009&lt;0.1,"*","NS")))</f>
        <v>***</v>
      </c>
      <c r="G29" s="15" t="s">
        <v>7</v>
      </c>
      <c r="H29" s="11">
        <v>71.194297823054328</v>
      </c>
      <c r="I29" s="11">
        <v>68.014599080195467</v>
      </c>
      <c r="J29" s="11">
        <v>-3.1796987428587489</v>
      </c>
      <c r="K29" s="12" t="str">
        <f>IF(       0.345&lt;0.01,"***",IF(       0.345&lt;0.05,"**",IF(       0.345&lt;0.1,"*","NS")))</f>
        <v>NS</v>
      </c>
      <c r="L29" s="11">
        <v>57.39342955293661</v>
      </c>
      <c r="M29" s="11">
        <v>-13.80086827011773</v>
      </c>
      <c r="N29" s="12" t="str">
        <f>IF(       0.009&lt;0.01,"***",IF(       0.009&lt;0.05,"**",IF(       0.009&lt;0.1,"*","NS")))</f>
        <v>***</v>
      </c>
      <c r="P29" s="15" t="s">
        <v>7</v>
      </c>
      <c r="Q29" s="11">
        <v>70.840644281078013</v>
      </c>
      <c r="R29" s="11">
        <v>57.39342955293661</v>
      </c>
      <c r="S29" s="11">
        <v>-13.447214728141628</v>
      </c>
      <c r="T29" s="12" t="str">
        <f>IF(       0.012&lt;0.01,"***",IF(       0.012&lt;0.05,"**",IF(       0.012&lt;0.1,"*","NS")))</f>
        <v>**</v>
      </c>
    </row>
    <row r="30" spans="1:20" ht="15.75" customHeight="1">
      <c r="A30" s="15" t="s">
        <v>8</v>
      </c>
      <c r="B30" s="11">
        <v>29.51364145109028</v>
      </c>
      <c r="C30" s="11">
        <v>26.234952259473761</v>
      </c>
      <c r="D30" s="11">
        <v>-3.2786891916166319</v>
      </c>
      <c r="E30" s="12" t="str">
        <f>IF(       0.265&lt;0.01,"***",IF(       0.265&lt;0.05,"**",IF(       0.265&lt;0.1,"*","NS")))</f>
        <v>NS</v>
      </c>
      <c r="G30" s="15" t="s">
        <v>8</v>
      </c>
      <c r="H30" s="11">
        <v>29.51364145109028</v>
      </c>
      <c r="I30" s="11">
        <v>27.91738595221473</v>
      </c>
      <c r="J30" s="11">
        <v>-1.5962554988755431</v>
      </c>
      <c r="K30" s="12" t="str">
        <f>IF(       0.664&lt;0.01,"***",IF(       0.664&lt;0.05,"**",IF(       0.664&lt;0.1,"*","NS")))</f>
        <v>NS</v>
      </c>
      <c r="L30" s="11">
        <v>22.1854047368798</v>
      </c>
      <c r="M30" s="11">
        <v>-7.32823671421054</v>
      </c>
      <c r="N30" s="12" t="str">
        <f>IF(       0.028&lt;0.01,"***",IF(       0.028&lt;0.05,"**",IF(       0.028&lt;0.1,"*","NS")))</f>
        <v>**</v>
      </c>
      <c r="P30" s="15" t="s">
        <v>8</v>
      </c>
      <c r="Q30" s="11">
        <v>29.366036981262042</v>
      </c>
      <c r="R30" s="11">
        <v>22.1854047368798</v>
      </c>
      <c r="S30" s="11">
        <v>-7.1806322443821555</v>
      </c>
      <c r="T30" s="12" t="str">
        <f>IF(       0.03&lt;0.01,"***",IF(       0.03&lt;0.05,"**",IF(       0.03&lt;0.1,"*","NS")))</f>
        <v>**</v>
      </c>
    </row>
    <row r="31" spans="1:20" ht="15.75" customHeight="1">
      <c r="A31" s="15" t="s">
        <v>10</v>
      </c>
      <c r="B31" s="11">
        <v>48.04768300839153</v>
      </c>
      <c r="C31" s="11">
        <v>44.182923821455013</v>
      </c>
      <c r="D31" s="11">
        <v>-3.8647591869367073</v>
      </c>
      <c r="E31" s="12" t="str">
        <f>IF(       0.026&lt;0.01,"***",IF(       0.026&lt;0.05,"**",IF(       0.026&lt;0.1,"*","NS")))</f>
        <v>**</v>
      </c>
      <c r="G31" s="15" t="s">
        <v>10</v>
      </c>
      <c r="H31" s="11">
        <v>48.04768300839153</v>
      </c>
      <c r="I31" s="11">
        <v>45.246908722117148</v>
      </c>
      <c r="J31" s="11">
        <v>-2.8007742862744114</v>
      </c>
      <c r="K31" s="12" t="str">
        <f>IF(       0.183&lt;0.01,"***",IF(       0.183&lt;0.05,"**",IF(       0.183&lt;0.1,"*","NS")))</f>
        <v>NS</v>
      </c>
      <c r="L31" s="11">
        <v>42.249837261474248</v>
      </c>
      <c r="M31" s="11">
        <v>-5.797845746917444</v>
      </c>
      <c r="N31" s="12" t="str">
        <f>IF(       0.01&lt;0.01,"***",IF(       0.01&lt;0.05,"**",IF(       0.01&lt;0.1,"*","NS")))</f>
        <v>**</v>
      </c>
      <c r="P31" s="15" t="s">
        <v>10</v>
      </c>
      <c r="Q31" s="11">
        <v>47.78546232179211</v>
      </c>
      <c r="R31" s="11">
        <v>42.249837261474248</v>
      </c>
      <c r="S31" s="11">
        <v>-5.5356250603179307</v>
      </c>
      <c r="T31" s="12" t="str">
        <f>IF(       0.012&lt;0.01,"***",IF(       0.012&lt;0.05,"**",IF(       0.012&lt;0.1,"*","NS")))</f>
        <v>**</v>
      </c>
    </row>
    <row r="32" spans="1:20" ht="15.75" customHeight="1"/>
    <row r="33" spans="1:20" ht="15.75" customHeight="1">
      <c r="A33" s="15" t="s">
        <v>185</v>
      </c>
      <c r="G33" s="15" t="s">
        <v>186</v>
      </c>
      <c r="P33" s="15" t="s">
        <v>187</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91.1977087200206</v>
      </c>
      <c r="C35" s="11">
        <v>94.500472146763087</v>
      </c>
      <c r="D35" s="11">
        <v>3.3027634267424699</v>
      </c>
      <c r="E35" s="12" t="str">
        <f>IF(       0.059&lt;0.01,"***",IF(       0.059&lt;0.05,"**",IF(       0.059&lt;0.1,"*","NS")))</f>
        <v>*</v>
      </c>
      <c r="G35" s="15" t="s">
        <v>5</v>
      </c>
      <c r="H35" s="11">
        <v>91.1977087200206</v>
      </c>
      <c r="I35" s="11">
        <v>95.834367760097379</v>
      </c>
      <c r="J35" s="11">
        <v>4.6366590400768741</v>
      </c>
      <c r="K35" s="12" t="str">
        <f>IF(       0.065&lt;0.01,"***",IF(       0.065&lt;0.05,"**",IF(       0.065&lt;0.1,"*","NS")))</f>
        <v>*</v>
      </c>
      <c r="L35" s="11">
        <v>92.294411135105292</v>
      </c>
      <c r="M35" s="11">
        <v>1.0967024150847025</v>
      </c>
      <c r="N35" s="12" t="str">
        <f>IF(       0.611&lt;0.01,"***",IF(       0.611&lt;0.05,"**",IF(       0.611&lt;0.1,"*","NS")))</f>
        <v>NS</v>
      </c>
      <c r="P35" s="15" t="s">
        <v>5</v>
      </c>
      <c r="Q35" s="11">
        <v>91.643109179184819</v>
      </c>
      <c r="R35" s="11">
        <v>92.294411135105292</v>
      </c>
      <c r="S35" s="11">
        <v>0.65130195592049889</v>
      </c>
      <c r="T35" s="12" t="str">
        <f>IF(       0.764&lt;0.01,"***",IF(       0.764&lt;0.05,"**",IF(       0.764&lt;0.1,"*","NS")))</f>
        <v>NS</v>
      </c>
    </row>
    <row r="36" spans="1:20" ht="15.75" customHeight="1">
      <c r="A36" s="15" t="s">
        <v>6</v>
      </c>
      <c r="B36" s="11">
        <v>92.74573303989834</v>
      </c>
      <c r="C36" s="11">
        <v>93.835166668931592</v>
      </c>
      <c r="D36" s="11">
        <v>1.0894336290332645</v>
      </c>
      <c r="E36" s="12" t="str">
        <f>IF(       0.581&lt;0.01,"***",IF(       0.581&lt;0.05,"**",IF(       0.581&lt;0.1,"*","NS")))</f>
        <v>NS</v>
      </c>
      <c r="G36" s="15" t="s">
        <v>6</v>
      </c>
      <c r="H36" s="11">
        <v>92.74573303989834</v>
      </c>
      <c r="I36" s="11">
        <v>94.123643464770836</v>
      </c>
      <c r="J36" s="11">
        <v>1.3779104248724969</v>
      </c>
      <c r="K36" s="12" t="str">
        <f>IF(       0.464&lt;0.01,"***",IF(       0.464&lt;0.05,"**",IF(       0.464&lt;0.1,"*","NS")))</f>
        <v>NS</v>
      </c>
      <c r="L36" s="11">
        <v>92.863294341712702</v>
      </c>
      <c r="M36" s="11">
        <v>0.11756130181436455</v>
      </c>
      <c r="N36" s="12" t="str">
        <f>IF(       0.975&lt;0.01,"***",IF(       0.975&lt;0.05,"**",IF(       0.975&lt;0.1,"*","NS")))</f>
        <v>NS</v>
      </c>
      <c r="P36" s="15" t="s">
        <v>6</v>
      </c>
      <c r="Q36" s="11">
        <v>92.8876795839858</v>
      </c>
      <c r="R36" s="11">
        <v>92.863294341712702</v>
      </c>
      <c r="S36" s="11">
        <v>-2.4385242273119459E-2</v>
      </c>
      <c r="T36" s="12" t="str">
        <f>IF(       0.995&lt;0.01,"***",IF(       0.995&lt;0.05,"**",IF(       0.995&lt;0.1,"*","NS")))</f>
        <v>NS</v>
      </c>
    </row>
    <row r="37" spans="1:20" ht="15.75" customHeight="1">
      <c r="A37" s="15" t="s">
        <v>7</v>
      </c>
      <c r="B37" s="11">
        <v>97.215844391033215</v>
      </c>
      <c r="C37" s="11">
        <v>96.585502403024492</v>
      </c>
      <c r="D37" s="11">
        <v>-0.63034198800873331</v>
      </c>
      <c r="E37" s="12" t="str">
        <f>IF(       0.527&lt;0.01,"***",IF(       0.527&lt;0.05,"**",IF(       0.527&lt;0.1,"*","NS")))</f>
        <v>NS</v>
      </c>
      <c r="G37" s="15" t="s">
        <v>7</v>
      </c>
      <c r="H37" s="11">
        <v>97.215844391033215</v>
      </c>
      <c r="I37" s="11">
        <v>97.140738210730049</v>
      </c>
      <c r="J37" s="11">
        <v>-7.5106180303154871E-2</v>
      </c>
      <c r="K37" s="12" t="str">
        <f>IF(       0.952&lt;0.01,"***",IF(       0.952&lt;0.05,"**",IF(       0.952&lt;0.1,"*","NS")))</f>
        <v>NS</v>
      </c>
      <c r="L37" s="11">
        <v>95.256127358873769</v>
      </c>
      <c r="M37" s="11">
        <v>-1.9597170321594746</v>
      </c>
      <c r="N37" s="12" t="str">
        <f>IF(       0.36&lt;0.01,"***",IF(       0.36&lt;0.05,"**",IF(       0.36&lt;0.1,"*","NS")))</f>
        <v>NS</v>
      </c>
      <c r="P37" s="15" t="s">
        <v>7</v>
      </c>
      <c r="Q37" s="11">
        <v>97.206930855244664</v>
      </c>
      <c r="R37" s="11">
        <v>95.256127358873769</v>
      </c>
      <c r="S37" s="11">
        <v>-1.9508034963709757</v>
      </c>
      <c r="T37" s="12" t="str">
        <f>IF(       0.367&lt;0.01,"***",IF(       0.367&lt;0.05,"**",IF(       0.367&lt;0.1,"*","NS")))</f>
        <v>NS</v>
      </c>
    </row>
    <row r="38" spans="1:20" ht="15.75" customHeight="1">
      <c r="A38" s="15" t="s">
        <v>8</v>
      </c>
      <c r="B38" s="11">
        <v>81.27722712343251</v>
      </c>
      <c r="C38" s="11">
        <v>81.160469997246665</v>
      </c>
      <c r="D38" s="11">
        <v>-0.11675712618586689</v>
      </c>
      <c r="E38" s="12" t="str">
        <f>IF(       0.969&lt;0.01,"***",IF(       0.969&lt;0.05,"**",IF(       0.969&lt;0.1,"*","NS")))</f>
        <v>NS</v>
      </c>
      <c r="G38" s="15" t="s">
        <v>8</v>
      </c>
      <c r="H38" s="11">
        <v>81.27722712343251</v>
      </c>
      <c r="I38" s="11">
        <v>80.401825885461065</v>
      </c>
      <c r="J38" s="11">
        <v>-0.8754012379714825</v>
      </c>
      <c r="K38" s="12" t="str">
        <f>IF(       0.804&lt;0.01,"***",IF(       0.804&lt;0.05,"**",IF(       0.804&lt;0.1,"*","NS")))</f>
        <v>NS</v>
      </c>
      <c r="L38" s="11">
        <v>82.922677789165718</v>
      </c>
      <c r="M38" s="11">
        <v>1.6454506657332628</v>
      </c>
      <c r="N38" s="12" t="str">
        <f>IF(       0.778&lt;0.01,"***",IF(       0.778&lt;0.05,"**",IF(       0.778&lt;0.1,"*","NS")))</f>
        <v>NS</v>
      </c>
      <c r="P38" s="15" t="s">
        <v>8</v>
      </c>
      <c r="Q38" s="11">
        <v>81.20094591382211</v>
      </c>
      <c r="R38" s="11">
        <v>82.922677789165718</v>
      </c>
      <c r="S38" s="11">
        <v>1.7217318753435864</v>
      </c>
      <c r="T38" s="12" t="str">
        <f>IF(       0.768&lt;0.01,"***",IF(       0.768&lt;0.05,"**",IF(       0.768&lt;0.1,"*","NS")))</f>
        <v>NS</v>
      </c>
    </row>
    <row r="39" spans="1:20" ht="15.75" customHeight="1">
      <c r="A39" s="15" t="s">
        <v>10</v>
      </c>
      <c r="B39" s="11">
        <v>94.421902889569139</v>
      </c>
      <c r="C39" s="11">
        <v>94.926788025198604</v>
      </c>
      <c r="D39" s="11">
        <v>0.50488513562945125</v>
      </c>
      <c r="E39" s="12" t="str">
        <f>IF(       0.527&lt;0.01,"***",IF(       0.527&lt;0.05,"**",IF(       0.527&lt;0.1,"*","NS")))</f>
        <v>NS</v>
      </c>
      <c r="G39" s="15" t="s">
        <v>10</v>
      </c>
      <c r="H39" s="11">
        <v>94.421902889569139</v>
      </c>
      <c r="I39" s="11">
        <v>95.442572885262507</v>
      </c>
      <c r="J39" s="11">
        <v>1.0206699956934067</v>
      </c>
      <c r="K39" s="12" t="str">
        <f>IF(       0.28&lt;0.01,"***",IF(       0.28&lt;0.05,"**",IF(       0.28&lt;0.1,"*","NS")))</f>
        <v>NS</v>
      </c>
      <c r="L39" s="11">
        <v>93.715617670071993</v>
      </c>
      <c r="M39" s="11">
        <v>-0.70628521949719181</v>
      </c>
      <c r="N39" s="12" t="str">
        <f>IF(       0.672&lt;0.01,"***",IF(       0.672&lt;0.05,"**",IF(       0.672&lt;0.1,"*","NS")))</f>
        <v>NS</v>
      </c>
      <c r="P39" s="15" t="s">
        <v>10</v>
      </c>
      <c r="Q39" s="11">
        <v>94.535452925102433</v>
      </c>
      <c r="R39" s="11">
        <v>93.715617670071993</v>
      </c>
      <c r="S39" s="11">
        <v>-0.81983525503044197</v>
      </c>
      <c r="T39" s="12" t="str">
        <f>IF(       0.624&lt;0.01,"***",IF(       0.624&lt;0.05,"**",IF(       0.624&lt;0.1,"*","NS")))</f>
        <v>NS</v>
      </c>
    </row>
    <row r="40" spans="1:20" ht="15.75" customHeight="1"/>
    <row r="41" spans="1:20" ht="15.75" customHeight="1">
      <c r="A41" s="15" t="s">
        <v>188</v>
      </c>
      <c r="G41" s="15" t="s">
        <v>189</v>
      </c>
      <c r="P41" s="15" t="s">
        <v>190</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57.50632367308009</v>
      </c>
      <c r="C43" s="11">
        <v>51.076682210744153</v>
      </c>
      <c r="D43" s="11">
        <v>-6.4296414623359803</v>
      </c>
      <c r="E43" s="12" t="str">
        <f>IF(       0.214&lt;0.01,"***",IF(       0.214&lt;0.05,"**",IF(       0.214&lt;0.1,"*","NS")))</f>
        <v>NS</v>
      </c>
      <c r="G43" s="15" t="s">
        <v>5</v>
      </c>
      <c r="H43" s="11">
        <v>57.50632367308009</v>
      </c>
      <c r="I43" s="11">
        <v>57.552041695755882</v>
      </c>
      <c r="J43" s="11">
        <v>4.5718022675775571E-2</v>
      </c>
      <c r="K43" s="12" t="str">
        <f>IF(       0.993&lt;0.01,"***",IF(       0.993&lt;0.05,"**",IF(       0.993&lt;0.1,"*","NS")))</f>
        <v>NS</v>
      </c>
      <c r="L43" s="11">
        <v>41.278008043082153</v>
      </c>
      <c r="M43" s="11">
        <v>-16.228315629998601</v>
      </c>
      <c r="N43" s="12" t="str">
        <f>IF(       0.848&lt;0.01,"***",IF(       0.848&lt;0.05,"**",IF(       0.848&lt;0.1,"*","NS")))</f>
        <v>NS</v>
      </c>
      <c r="P43" s="15" t="s">
        <v>5</v>
      </c>
      <c r="Q43" s="11">
        <v>57.507893121955753</v>
      </c>
      <c r="R43" s="11">
        <v>41.278008043082153</v>
      </c>
      <c r="S43" s="11">
        <v>-16.229885078873124</v>
      </c>
      <c r="T43" s="12" t="str">
        <f>IF(       0.01&lt;0.01,"***",IF(       0.01&lt;0.05,"**",IF(       0.01&lt;0.1,"*","NS")))</f>
        <v>**</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92.94988755975892</v>
      </c>
      <c r="C45" s="11">
        <v>89.500935303700714</v>
      </c>
      <c r="D45" s="11">
        <v>-3.4489522560582713</v>
      </c>
      <c r="E45" s="12" t="str">
        <f>IF(       0.042&lt;0.01,"***",IF(       0.042&lt;0.05,"**",IF(       0.042&lt;0.1,"*","NS")))</f>
        <v>**</v>
      </c>
      <c r="G45" s="15" t="s">
        <v>7</v>
      </c>
      <c r="H45" s="11">
        <v>92.94988755975892</v>
      </c>
      <c r="I45" s="11">
        <v>90.271620674857047</v>
      </c>
      <c r="J45" s="11">
        <v>-2.678266884901932</v>
      </c>
      <c r="K45" s="12" t="str">
        <f>IF(       0.185&lt;0.01,"***",IF(       0.185&lt;0.05,"**",IF(       0.185&lt;0.1,"*","NS")))</f>
        <v>NS</v>
      </c>
      <c r="L45" s="11">
        <v>86.660486022742077</v>
      </c>
      <c r="M45" s="11">
        <v>-6.2894015370167704</v>
      </c>
      <c r="N45" s="12" t="str">
        <f>IF(       0.066&lt;0.01,"***",IF(       0.066&lt;0.05,"**",IF(       0.066&lt;0.1,"*","NS")))</f>
        <v>*</v>
      </c>
      <c r="P45" s="15" t="s">
        <v>7</v>
      </c>
      <c r="Q45" s="11">
        <v>92.767431930514434</v>
      </c>
      <c r="R45" s="11">
        <v>86.660486022742077</v>
      </c>
      <c r="S45" s="11">
        <v>-6.1069459077723218</v>
      </c>
      <c r="T45" s="12" t="str">
        <f>IF(       0.053&lt;0.01,"***",IF(       0.053&lt;0.05,"**",IF(       0.053&lt;0.1,"*","NS")))</f>
        <v>*</v>
      </c>
    </row>
    <row r="46" spans="1:20" ht="15.75" customHeight="1">
      <c r="A46" s="15" t="s">
        <v>8</v>
      </c>
      <c r="B46" s="11">
        <v>46.538826294453081</v>
      </c>
      <c r="C46" s="11">
        <v>46.63374783631911</v>
      </c>
      <c r="D46" s="11">
        <v>9.4921541866032882E-2</v>
      </c>
      <c r="E46" s="12" t="str">
        <f>IF(       0.982&lt;0.01,"***",IF(       0.982&lt;0.05,"**",IF(       0.982&lt;0.1,"*","NS")))</f>
        <v>NS</v>
      </c>
      <c r="G46" s="15" t="s">
        <v>8</v>
      </c>
      <c r="H46" s="11">
        <v>46.538826294453081</v>
      </c>
      <c r="I46" s="11">
        <v>46.243311461972162</v>
      </c>
      <c r="J46" s="11">
        <v>-0.29551483248092608</v>
      </c>
      <c r="K46" s="12" t="str">
        <f>IF(       0.95&lt;0.01,"***",IF(       0.95&lt;0.05,"**",IF(       0.95&lt;0.1,"*","NS")))</f>
        <v>NS</v>
      </c>
      <c r="L46" s="11">
        <v>48.030465889726507</v>
      </c>
      <c r="M46" s="11">
        <v>1.4916395952733945</v>
      </c>
      <c r="N46" s="12" t="str">
        <f>IF(       0.045&lt;0.01,"***",IF(       0.045&lt;0.05,"**",IF(       0.045&lt;0.1,"*","NS")))</f>
        <v>**</v>
      </c>
      <c r="P46" s="15" t="s">
        <v>8</v>
      </c>
      <c r="Q46" s="11">
        <v>46.525035021643752</v>
      </c>
      <c r="R46" s="11">
        <v>48.030465889726507</v>
      </c>
      <c r="S46" s="11">
        <v>1.5054308680828812</v>
      </c>
      <c r="T46" s="12" t="str">
        <f>IF(       0.811&lt;0.01,"***",IF(       0.811&lt;0.05,"**",IF(       0.811&lt;0.1,"*","NS")))</f>
        <v>NS</v>
      </c>
    </row>
    <row r="47" spans="1:20" ht="15.75" customHeight="1">
      <c r="A47" s="15" t="s">
        <v>10</v>
      </c>
      <c r="B47" s="11">
        <v>71.087021391656435</v>
      </c>
      <c r="C47" s="11">
        <v>71.075529236270526</v>
      </c>
      <c r="D47" s="11">
        <v>-1.1492155385923096E-2</v>
      </c>
      <c r="E47" s="12" t="str">
        <f>IF(       0.996&lt;0.01,"***",IF(       0.996&lt;0.05,"**",IF(       0.996&lt;0.1,"*","NS")))</f>
        <v>NS</v>
      </c>
      <c r="G47" s="15" t="s">
        <v>10</v>
      </c>
      <c r="H47" s="11">
        <v>71.087021391656435</v>
      </c>
      <c r="I47" s="11">
        <v>74.437967528410752</v>
      </c>
      <c r="J47" s="11">
        <v>3.3509461367543043</v>
      </c>
      <c r="K47" s="12" t="str">
        <f>IF(       0.155&lt;0.01,"***",IF(       0.155&lt;0.05,"**",IF(       0.155&lt;0.1,"*","NS")))</f>
        <v>NS</v>
      </c>
      <c r="L47" s="11">
        <v>61.672931816615538</v>
      </c>
      <c r="M47" s="11">
        <v>-9.4140895750415634</v>
      </c>
      <c r="N47" s="12" t="str">
        <f>IF(       0.016&lt;0.01,"***",IF(       0.016&lt;0.05,"**",IF(       0.016&lt;0.1,"*","NS")))</f>
        <v>**</v>
      </c>
      <c r="P47" s="15" t="s">
        <v>10</v>
      </c>
      <c r="Q47" s="11">
        <v>71.256411321284375</v>
      </c>
      <c r="R47" s="11">
        <v>61.672931816615538</v>
      </c>
      <c r="S47" s="11">
        <v>-9.5834795046690502</v>
      </c>
      <c r="T47" s="12" t="str">
        <f>IF(       0.013&lt;0.01,"***",IF(       0.013&lt;0.05,"**",IF(       0.013&lt;0.1,"*","NS")))</f>
        <v>**</v>
      </c>
    </row>
    <row r="48" spans="1:20" ht="15.75" customHeight="1"/>
    <row r="49" spans="1:20" ht="15.75" customHeight="1">
      <c r="A49" s="15" t="s">
        <v>191</v>
      </c>
      <c r="G49" s="15" t="s">
        <v>192</v>
      </c>
      <c r="P49" s="15" t="s">
        <v>193</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53.808973629893323</v>
      </c>
      <c r="C51" s="11">
        <v>54.8361598455622</v>
      </c>
      <c r="D51" s="11">
        <v>1.0271862156688725</v>
      </c>
      <c r="E51" s="12" t="str">
        <f>IF(       0.72&lt;0.01,"***",IF(       0.72&lt;0.05,"**",IF(       0.72&lt;0.1,"*","NS")))</f>
        <v>NS</v>
      </c>
      <c r="G51" s="15" t="s">
        <v>5</v>
      </c>
      <c r="H51" s="11">
        <v>53.808973629893323</v>
      </c>
      <c r="I51" s="11">
        <v>55.205268682146077</v>
      </c>
      <c r="J51" s="11">
        <v>1.3962950522527846</v>
      </c>
      <c r="K51" s="12" t="str">
        <f>IF(       0.689&lt;0.01,"***",IF(       0.689&lt;0.05,"**",IF(       0.689&lt;0.1,"*","NS")))</f>
        <v>NS</v>
      </c>
      <c r="L51" s="11">
        <v>54.277946158540601</v>
      </c>
      <c r="M51" s="11">
        <v>0.46897252864729339</v>
      </c>
      <c r="N51" s="12" t="str">
        <f>IF(       0.898&lt;0.01,"***",IF(       0.898&lt;0.05,"**",IF(       0.898&lt;0.1,"*","NS")))</f>
        <v>NS</v>
      </c>
      <c r="P51" s="15" t="s">
        <v>5</v>
      </c>
      <c r="Q51" s="11">
        <v>54.156269200590692</v>
      </c>
      <c r="R51" s="11">
        <v>54.277946158540601</v>
      </c>
      <c r="S51" s="11">
        <v>0.12167695794991502</v>
      </c>
      <c r="T51" s="12" t="str">
        <f>IF(       0.973&lt;0.01,"***",IF(       0.973&lt;0.05,"**",IF(       0.973&lt;0.1,"*","NS")))</f>
        <v>NS</v>
      </c>
    </row>
    <row r="52" spans="1:20" ht="15.75" customHeight="1">
      <c r="A52" s="15" t="s">
        <v>6</v>
      </c>
      <c r="B52" s="11">
        <v>59.742328356392541</v>
      </c>
      <c r="C52" s="11">
        <v>61.608312854909059</v>
      </c>
      <c r="D52" s="11">
        <v>1.8659844985165224</v>
      </c>
      <c r="E52" s="12" t="str">
        <f>IF(       0.561&lt;0.01,"***",IF(       0.561&lt;0.05,"**",IF(       0.561&lt;0.1,"*","NS")))</f>
        <v>NS</v>
      </c>
      <c r="G52" s="15" t="s">
        <v>6</v>
      </c>
      <c r="H52" s="11">
        <v>59.742328356392541</v>
      </c>
      <c r="I52" s="11">
        <v>60.134619465467757</v>
      </c>
      <c r="J52" s="11">
        <v>0.39229110907522624</v>
      </c>
      <c r="K52" s="12" t="str">
        <f>IF(       0.905&lt;0.01,"***",IF(       0.905&lt;0.05,"**",IF(       0.905&lt;0.1,"*","NS")))</f>
        <v>NS</v>
      </c>
      <c r="L52" s="11">
        <v>65.17016136436439</v>
      </c>
      <c r="M52" s="11">
        <v>5.4278330079718904</v>
      </c>
      <c r="N52" s="12" t="str">
        <f>IF(       0.29&lt;0.01,"***",IF(       0.29&lt;0.05,"**",IF(       0.29&lt;0.1,"*","NS")))</f>
        <v>NS</v>
      </c>
      <c r="P52" s="15" t="s">
        <v>6</v>
      </c>
      <c r="Q52" s="11">
        <v>59.834167629664897</v>
      </c>
      <c r="R52" s="11">
        <v>65.17016136436439</v>
      </c>
      <c r="S52" s="11">
        <v>5.3359937346994712</v>
      </c>
      <c r="T52" s="12" t="str">
        <f>IF(       0.277&lt;0.01,"***",IF(       0.277&lt;0.05,"**",IF(       0.277&lt;0.1,"*","NS")))</f>
        <v>NS</v>
      </c>
    </row>
    <row r="53" spans="1:20" ht="15.75" customHeight="1">
      <c r="A53" s="15" t="s">
        <v>7</v>
      </c>
      <c r="B53" s="11">
        <v>90.958473493321762</v>
      </c>
      <c r="C53" s="11">
        <v>91.452489305800086</v>
      </c>
      <c r="D53" s="11">
        <v>0.49401581247833187</v>
      </c>
      <c r="E53" s="12" t="str">
        <f>IF(       0.709&lt;0.01,"***",IF(       0.709&lt;0.05,"**",IF(       0.709&lt;0.1,"*","NS")))</f>
        <v>NS</v>
      </c>
      <c r="G53" s="15" t="s">
        <v>7</v>
      </c>
      <c r="H53" s="11">
        <v>90.958473493321762</v>
      </c>
      <c r="I53" s="11">
        <v>93.590913554344993</v>
      </c>
      <c r="J53" s="11">
        <v>2.632440061023225</v>
      </c>
      <c r="K53" s="12" t="str">
        <f>IF(       0.073&lt;0.01,"***",IF(       0.073&lt;0.05,"**",IF(       0.073&lt;0.1,"*","NS")))</f>
        <v>*</v>
      </c>
      <c r="L53" s="11">
        <v>87.640675466979417</v>
      </c>
      <c r="M53" s="11">
        <v>-3.3177980263423623</v>
      </c>
      <c r="N53" s="12" t="str">
        <f>IF(       0.248&lt;0.01,"***",IF(       0.248&lt;0.05,"**",IF(       0.248&lt;0.1,"*","NS")))</f>
        <v>NS</v>
      </c>
      <c r="P53" s="15" t="s">
        <v>7</v>
      </c>
      <c r="Q53" s="11">
        <v>91.626105339117842</v>
      </c>
      <c r="R53" s="11">
        <v>87.640675466979417</v>
      </c>
      <c r="S53" s="11">
        <v>-3.9854298721384209</v>
      </c>
      <c r="T53" s="12" t="str">
        <f>IF(       0.168&lt;0.01,"***",IF(       0.168&lt;0.05,"**",IF(       0.168&lt;0.1,"*","NS")))</f>
        <v>NS</v>
      </c>
    </row>
    <row r="54" spans="1:20" ht="15.75" customHeight="1">
      <c r="A54" s="15" t="s">
        <v>8</v>
      </c>
      <c r="B54" s="11">
        <v>42.930725311185327</v>
      </c>
      <c r="C54" s="11">
        <v>40.733961347129537</v>
      </c>
      <c r="D54" s="11">
        <v>-2.1967639640557959</v>
      </c>
      <c r="E54" s="12" t="str">
        <f>IF(       0.377&lt;0.01,"***",IF(       0.377&lt;0.05,"**",IF(       0.377&lt;0.1,"*","NS")))</f>
        <v>NS</v>
      </c>
      <c r="G54" s="15" t="s">
        <v>8</v>
      </c>
      <c r="H54" s="11">
        <v>42.930725311185327</v>
      </c>
      <c r="I54" s="11">
        <v>41.933070050086123</v>
      </c>
      <c r="J54" s="11">
        <v>-0.99765526109919611</v>
      </c>
      <c r="K54" s="12" t="str">
        <f>IF(       0.745&lt;0.01,"***",IF(       0.745&lt;0.05,"**",IF(       0.745&lt;0.1,"*","NS")))</f>
        <v>NS</v>
      </c>
      <c r="L54" s="11">
        <v>38.330201897788093</v>
      </c>
      <c r="M54" s="11">
        <v>-4.6005234133972186</v>
      </c>
      <c r="N54" s="12" t="str">
        <f>IF(       0.233&lt;0.01,"***",IF(       0.233&lt;0.05,"**",IF(       0.233&lt;0.1,"*","NS")))</f>
        <v>NS</v>
      </c>
      <c r="P54" s="15" t="s">
        <v>8</v>
      </c>
      <c r="Q54" s="11">
        <v>42.737169761602843</v>
      </c>
      <c r="R54" s="11">
        <v>38.330201897788093</v>
      </c>
      <c r="S54" s="11">
        <v>-4.4069678638147654</v>
      </c>
      <c r="T54" s="12" t="str">
        <f>IF(       0.254&lt;0.01,"***",IF(       0.254&lt;0.05,"**",IF(       0.254&lt;0.1,"*","NS")))</f>
        <v>NS</v>
      </c>
    </row>
    <row r="55" spans="1:20" ht="15.75" customHeight="1">
      <c r="A55" s="15" t="s">
        <v>10</v>
      </c>
      <c r="B55" s="11">
        <v>66.981632472172308</v>
      </c>
      <c r="C55" s="11">
        <v>69.065309875909051</v>
      </c>
      <c r="D55" s="11">
        <v>2.0836774037366919</v>
      </c>
      <c r="E55" s="12" t="str">
        <f>IF(       0.182&lt;0.01,"***",IF(       0.182&lt;0.05,"**",IF(       0.182&lt;0.1,"*","NS")))</f>
        <v>NS</v>
      </c>
      <c r="G55" s="15" t="s">
        <v>10</v>
      </c>
      <c r="H55" s="11">
        <v>66.981632472172308</v>
      </c>
      <c r="I55" s="11">
        <v>69.949951970835656</v>
      </c>
      <c r="J55" s="11">
        <v>2.9683194986633268</v>
      </c>
      <c r="K55" s="12" t="str">
        <f>IF(       0.083&lt;0.01,"***",IF(       0.083&lt;0.05,"**",IF(       0.083&lt;0.1,"*","NS")))</f>
        <v>*</v>
      </c>
      <c r="L55" s="11">
        <v>67.476314182991132</v>
      </c>
      <c r="M55" s="11">
        <v>0.49468171081882556</v>
      </c>
      <c r="N55" s="12" t="str">
        <f>IF(       0.848&lt;0.01,"***",IF(       0.848&lt;0.05,"**",IF(       0.848&lt;0.1,"*","NS")))</f>
        <v>NS</v>
      </c>
      <c r="P55" s="15" t="s">
        <v>10</v>
      </c>
      <c r="Q55" s="11">
        <v>67.691347360152349</v>
      </c>
      <c r="R55" s="11">
        <v>67.476314182991132</v>
      </c>
      <c r="S55" s="11">
        <v>-0.21503317716121592</v>
      </c>
      <c r="T55" s="12" t="str">
        <f>IF(       0.933&lt;0.01,"***",IF(       0.933&lt;0.05,"**",IF(       0.933&lt;0.1,"*","NS")))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194</v>
      </c>
      <c r="G1" s="15" t="s">
        <v>195</v>
      </c>
      <c r="P1" s="15" t="s">
        <v>196</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10.581613501760989</v>
      </c>
      <c r="C3" s="11">
        <v>10.3828100711219</v>
      </c>
      <c r="D3" s="11">
        <v>-0.19880343063904723</v>
      </c>
      <c r="E3" s="12" t="str">
        <f>IF(       0.895&lt;0.01,"***",IF(       0.895&lt;0.05,"**",IF(       0.895&lt;0.1,"*","NS")))</f>
        <v>NS</v>
      </c>
      <c r="G3" s="15" t="s">
        <v>5</v>
      </c>
      <c r="H3" s="11">
        <v>10.581613501760989</v>
      </c>
      <c r="I3" s="11">
        <v>10.333789268448641</v>
      </c>
      <c r="J3" s="11">
        <v>-0.24782423331234044</v>
      </c>
      <c r="K3" s="12" t="str">
        <f>IF(       0.886&lt;0.01,"***",IF(       0.886&lt;0.05,"**",IF(       0.886&lt;0.1,"*","NS")))</f>
        <v>NS</v>
      </c>
      <c r="L3" s="11">
        <v>10.45695768597597</v>
      </c>
      <c r="M3" s="11">
        <v>-0.12465581578515714</v>
      </c>
      <c r="N3" s="12" t="str">
        <f>IF(       0.955&lt;0.01,"***",IF(       0.955&lt;0.05,"**",IF(       0.955&lt;0.1,"*","NS")))</f>
        <v>NS</v>
      </c>
      <c r="P3" s="15" t="s">
        <v>5</v>
      </c>
      <c r="Q3" s="11">
        <v>10.55892260490711</v>
      </c>
      <c r="R3" s="11">
        <v>10.45695768597597</v>
      </c>
      <c r="S3" s="11">
        <v>-0.10196491893120227</v>
      </c>
      <c r="T3" s="12" t="str">
        <f>IF(       0.963&lt;0.01,"***",IF(       0.963&lt;0.05,"**",IF(       0.963&lt;0.1,"*","NS")))</f>
        <v>NS</v>
      </c>
    </row>
    <row r="4" spans="1:20">
      <c r="A4" s="15" t="s">
        <v>6</v>
      </c>
      <c r="B4" s="11">
        <v>15.073796623012059</v>
      </c>
      <c r="C4" s="11">
        <v>14.91617572272007</v>
      </c>
      <c r="D4" s="11">
        <v>-0.15762090029200559</v>
      </c>
      <c r="E4" s="12" t="str">
        <f>IF(       0.955&lt;0.01,"***",IF(       0.955&lt;0.05,"**",IF(       0.955&lt;0.1,"*","NS")))</f>
        <v>NS</v>
      </c>
      <c r="G4" s="15" t="s">
        <v>6</v>
      </c>
      <c r="H4" s="11">
        <v>15.073796623012059</v>
      </c>
      <c r="I4" s="11">
        <v>17.191292442554861</v>
      </c>
      <c r="J4" s="11">
        <v>2.1174958195427172</v>
      </c>
      <c r="K4" s="12" t="str">
        <f>IF(       0.49&lt;0.01,"***",IF(       0.49&lt;0.05,"**",IF(       0.49&lt;0.1,"*","NS")))</f>
        <v>NS</v>
      </c>
      <c r="L4" s="11">
        <v>9.112791565464228</v>
      </c>
      <c r="M4" s="11">
        <v>-5.9610050575478049</v>
      </c>
      <c r="N4" s="12" t="str">
        <f>IF(       0.088&lt;0.01,"***",IF(       0.088&lt;0.05,"**",IF(       0.088&lt;0.1,"*","NS")))</f>
        <v>*</v>
      </c>
      <c r="P4" s="15" t="s">
        <v>6</v>
      </c>
      <c r="Q4" s="11">
        <v>15.2730279362271</v>
      </c>
      <c r="R4" s="11">
        <v>9.112791565464228</v>
      </c>
      <c r="S4" s="11">
        <v>-6.1602363707630152</v>
      </c>
      <c r="T4" s="12" t="str">
        <f>IF(       0.068&lt;0.01,"***",IF(       0.068&lt;0.05,"**",IF(       0.068&lt;0.1,"*","NS")))</f>
        <v>*</v>
      </c>
    </row>
    <row r="5" spans="1:20">
      <c r="A5" s="15" t="s">
        <v>7</v>
      </c>
      <c r="B5" s="11">
        <v>60.676439181632993</v>
      </c>
      <c r="C5" s="11">
        <v>65.098237341102333</v>
      </c>
      <c r="D5" s="11">
        <v>4.4217981594693958</v>
      </c>
      <c r="E5" s="12" t="str">
        <f>IF(       0.178&lt;0.01,"***",IF(       0.178&lt;0.05,"**",IF(       0.178&lt;0.1,"*","NS")))</f>
        <v>NS</v>
      </c>
      <c r="G5" s="15" t="s">
        <v>7</v>
      </c>
      <c r="H5" s="11">
        <v>60.676439181632993</v>
      </c>
      <c r="I5" s="11">
        <v>67.947592514234344</v>
      </c>
      <c r="J5" s="11">
        <v>7.271153332601437</v>
      </c>
      <c r="K5" s="12" t="str">
        <f>IF(       0.034&lt;0.01,"***",IF(       0.034&lt;0.05,"**",IF(       0.034&lt;0.1,"*","NS")))</f>
        <v>**</v>
      </c>
      <c r="L5" s="11">
        <v>58.5845214053004</v>
      </c>
      <c r="M5" s="11">
        <v>-2.0919177763326466</v>
      </c>
      <c r="N5" s="12" t="str">
        <f>IF(       0.694&lt;0.01,"***",IF(       0.694&lt;0.05,"**",IF(       0.694&lt;0.1,"*","NS")))</f>
        <v>NS</v>
      </c>
      <c r="P5" s="15" t="s">
        <v>7</v>
      </c>
      <c r="Q5" s="11">
        <v>61.52962125965297</v>
      </c>
      <c r="R5" s="11">
        <v>58.5845214053004</v>
      </c>
      <c r="S5" s="11">
        <v>-2.945099854352613</v>
      </c>
      <c r="T5" s="12" t="str">
        <f>IF(       0.571&lt;0.01,"***",IF(       0.571&lt;0.05,"**",IF(       0.571&lt;0.1,"*","NS")))</f>
        <v>NS</v>
      </c>
    </row>
    <row r="6" spans="1:20">
      <c r="A6" s="15" t="s">
        <v>8</v>
      </c>
      <c r="B6" s="11">
        <v>4.2219640673131531</v>
      </c>
      <c r="C6" s="11">
        <v>3.635720896914612</v>
      </c>
      <c r="D6" s="11">
        <v>-0.5862431703985046</v>
      </c>
      <c r="E6" s="12" t="str">
        <f>IF(       0.56&lt;0.01,"***",IF(       0.56&lt;0.05,"**",IF(       0.56&lt;0.1,"*","NS")))</f>
        <v>NS</v>
      </c>
      <c r="G6" s="15" t="s">
        <v>8</v>
      </c>
      <c r="H6" s="11">
        <v>4.2219640673131531</v>
      </c>
      <c r="I6" s="11">
        <v>3.3087817715232908</v>
      </c>
      <c r="J6" s="11">
        <v>-0.9131822957899175</v>
      </c>
      <c r="K6" s="12" t="str">
        <f>IF(       0.286&lt;0.01,"***",IF(       0.286&lt;0.05,"**",IF(       0.286&lt;0.1,"*","NS")))</f>
        <v>NS</v>
      </c>
      <c r="L6" s="11">
        <v>4.4142870672703323</v>
      </c>
      <c r="M6" s="11">
        <v>0.19232299995711466</v>
      </c>
      <c r="N6" s="12" t="str">
        <f>IF(       0.904&lt;0.01,"***",IF(       0.904&lt;0.05,"**",IF(       0.904&lt;0.1,"*","NS")))</f>
        <v>NS</v>
      </c>
      <c r="P6" s="15" t="s">
        <v>8</v>
      </c>
      <c r="Q6" s="11">
        <v>4.1390276441429146</v>
      </c>
      <c r="R6" s="11">
        <v>4.4142870672703323</v>
      </c>
      <c r="S6" s="11">
        <v>0.27525942312737167</v>
      </c>
      <c r="T6" s="12" t="str">
        <f>IF(       0.859&lt;0.01,"***",IF(       0.859&lt;0.05,"**",IF(       0.859&lt;0.1,"*","NS")))</f>
        <v>NS</v>
      </c>
    </row>
    <row r="7" spans="1:20">
      <c r="A7" s="15" t="s">
        <v>10</v>
      </c>
      <c r="B7" s="11">
        <v>29.924490426047701</v>
      </c>
      <c r="C7" s="11">
        <v>34.335813318942037</v>
      </c>
      <c r="D7" s="11">
        <v>4.4113228928936552</v>
      </c>
      <c r="E7" s="12" t="str">
        <f>IF(       0.031&lt;0.01,"***",IF(       0.031&lt;0.05,"**",IF(       0.031&lt;0.1,"*","NS")))</f>
        <v>**</v>
      </c>
      <c r="G7" s="15" t="s">
        <v>10</v>
      </c>
      <c r="H7" s="11">
        <v>29.924490426047701</v>
      </c>
      <c r="I7" s="11">
        <v>36.738742402339007</v>
      </c>
      <c r="J7" s="11">
        <v>6.8142519762913611</v>
      </c>
      <c r="K7" s="12" t="str">
        <f>IF(       0.004&lt;0.01,"***",IF(       0.004&lt;0.05,"**",IF(       0.004&lt;0.1,"*","NS")))</f>
        <v>***</v>
      </c>
      <c r="L7" s="11">
        <v>29.382401447986449</v>
      </c>
      <c r="M7" s="11">
        <v>-0.54208897806130818</v>
      </c>
      <c r="N7" s="12" t="str">
        <f>IF(       0.866&lt;0.01,"***",IF(       0.866&lt;0.05,"**",IF(       0.866&lt;0.1,"*","NS")))</f>
        <v>NS</v>
      </c>
      <c r="P7" s="15" t="s">
        <v>10</v>
      </c>
      <c r="Q7" s="11">
        <v>30.620266840948972</v>
      </c>
      <c r="R7" s="11">
        <v>29.382401447986449</v>
      </c>
      <c r="S7" s="11">
        <v>-1.2378653929625778</v>
      </c>
      <c r="T7" s="12" t="str">
        <f>IF(       0.698&lt;0.01,"***",IF(       0.698&lt;0.05,"**",IF(       0.698&lt;0.1,"*","NS")))</f>
        <v>NS</v>
      </c>
    </row>
    <row r="9" spans="1:20">
      <c r="A9" s="15" t="s">
        <v>197</v>
      </c>
      <c r="G9" s="15" t="s">
        <v>198</v>
      </c>
      <c r="P9" s="15" t="s">
        <v>199</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10.92374623035348</v>
      </c>
      <c r="C11" s="11">
        <v>12.18538262535678</v>
      </c>
      <c r="D11" s="11">
        <v>1.2616363950032909</v>
      </c>
      <c r="E11" s="12" t="str">
        <f>IF(       0.549&lt;0.01,"***",IF(       0.549&lt;0.05,"**",IF(       0.549&lt;0.1,"*","NS")))</f>
        <v>NS</v>
      </c>
      <c r="G11" s="15" t="s">
        <v>5</v>
      </c>
      <c r="H11" s="11">
        <v>10.92374623035348</v>
      </c>
      <c r="I11" s="11">
        <v>11.886426323618529</v>
      </c>
      <c r="J11" s="11">
        <v>0.96268009326508308</v>
      </c>
      <c r="K11" s="12" t="str">
        <f>IF(       0.728&lt;0.01,"***",IF(       0.728&lt;0.05,"**",IF(       0.728&lt;0.1,"*","NS")))</f>
        <v>NS</v>
      </c>
      <c r="L11" s="11">
        <v>12.6458930304292</v>
      </c>
      <c r="M11" s="11">
        <v>1.7221468000756717</v>
      </c>
      <c r="N11" s="12" t="str">
        <f>IF(       0.49&lt;0.01,"***",IF(       0.49&lt;0.05,"**",IF(       0.49&lt;0.1,"*","NS")))</f>
        <v>NS</v>
      </c>
      <c r="P11" s="15" t="s">
        <v>5</v>
      </c>
      <c r="Q11" s="11">
        <v>11.010898084333251</v>
      </c>
      <c r="R11" s="11">
        <v>12.6458930304292</v>
      </c>
      <c r="S11" s="11">
        <v>1.6349949460959754</v>
      </c>
      <c r="T11" s="12" t="str">
        <f>IF(       0.507&lt;0.01,"***",IF(       0.507&lt;0.05,"**",IF(       0.507&lt;0.1,"*","NS")))</f>
        <v>NS</v>
      </c>
    </row>
    <row r="12" spans="1:20">
      <c r="A12" s="15" t="s">
        <v>6</v>
      </c>
      <c r="B12" s="11">
        <v>15.37511064894163</v>
      </c>
      <c r="C12" s="11">
        <v>15.388993314046781</v>
      </c>
      <c r="D12" s="11">
        <v>1.3882665105156339E-2</v>
      </c>
      <c r="E12" s="12" t="str">
        <f>IF(       0.997&lt;0.01,"***",IF(       0.997&lt;0.05,"**",IF(       0.997&lt;0.1,"*","NS")))</f>
        <v>NS</v>
      </c>
      <c r="G12" s="15" t="s">
        <v>6</v>
      </c>
      <c r="H12" s="11">
        <v>15.37511064894163</v>
      </c>
      <c r="I12" s="11">
        <v>18.53594830596446</v>
      </c>
      <c r="J12" s="11">
        <v>3.1608376570228218</v>
      </c>
      <c r="K12" s="12" t="str">
        <f>IF(       0.389&lt;0.01,"***",IF(       0.389&lt;0.05,"**",IF(       0.389&lt;0.1,"*","NS")))</f>
        <v>NS</v>
      </c>
      <c r="L12" s="11">
        <v>6.7754930512458689</v>
      </c>
      <c r="M12" s="11">
        <v>-8.5996175976955609</v>
      </c>
      <c r="N12" s="12" t="str">
        <f>IF(       0.033&lt;0.01,"***",IF(       0.033&lt;0.05,"**",IF(       0.033&lt;0.1,"*","NS")))</f>
        <v>**</v>
      </c>
      <c r="P12" s="15" t="s">
        <v>6</v>
      </c>
      <c r="Q12" s="11">
        <v>15.661310096526149</v>
      </c>
      <c r="R12" s="11">
        <v>6.7754930512458689</v>
      </c>
      <c r="S12" s="11">
        <v>-8.8858170452804526</v>
      </c>
      <c r="T12" s="12" t="str">
        <f>IF(       0.022&lt;0.01,"***",IF(       0.022&lt;0.05,"**",IF(       0.022&lt;0.1,"*","NS")))</f>
        <v>**</v>
      </c>
    </row>
    <row r="13" spans="1:20">
      <c r="A13" s="15" t="s">
        <v>7</v>
      </c>
      <c r="B13" s="11">
        <v>61.859395132673207</v>
      </c>
      <c r="C13" s="11">
        <v>64.660402460951062</v>
      </c>
      <c r="D13" s="11">
        <v>2.8010073282779007</v>
      </c>
      <c r="E13" s="12" t="str">
        <f>IF(       0.457&lt;0.01,"***",IF(       0.457&lt;0.05,"**",IF(       0.457&lt;0.1,"*","NS")))</f>
        <v>NS</v>
      </c>
      <c r="G13" s="15" t="s">
        <v>7</v>
      </c>
      <c r="H13" s="11">
        <v>61.859395132673207</v>
      </c>
      <c r="I13" s="11">
        <v>68.338509723665894</v>
      </c>
      <c r="J13" s="11">
        <v>6.4791145909927224</v>
      </c>
      <c r="K13" s="12" t="str">
        <f>IF(       0.115&lt;0.01,"***",IF(       0.115&lt;0.05,"**",IF(       0.115&lt;0.1,"*","NS")))</f>
        <v>NS</v>
      </c>
      <c r="L13" s="11">
        <v>55.287794407829793</v>
      </c>
      <c r="M13" s="11">
        <v>-6.5716007248432957</v>
      </c>
      <c r="N13" s="12" t="str">
        <f>IF(       0.239&lt;0.01,"***",IF(       0.239&lt;0.05,"**",IF(       0.239&lt;0.1,"*","NS")))</f>
        <v>NS</v>
      </c>
      <c r="P13" s="15" t="s">
        <v>7</v>
      </c>
      <c r="Q13" s="11">
        <v>62.753360067734043</v>
      </c>
      <c r="R13" s="11">
        <v>55.287794407829793</v>
      </c>
      <c r="S13" s="11">
        <v>-7.4655656599043443</v>
      </c>
      <c r="T13" s="12" t="str">
        <f>IF(       0.169&lt;0.01,"***",IF(       0.169&lt;0.05,"**",IF(       0.169&lt;0.1,"*","NS")))</f>
        <v>NS</v>
      </c>
    </row>
    <row r="14" spans="1:20">
      <c r="A14" s="15" t="s">
        <v>8</v>
      </c>
      <c r="B14" s="11">
        <v>3.85956880998003</v>
      </c>
      <c r="C14" s="11">
        <v>3.79780404233628</v>
      </c>
      <c r="D14" s="11">
        <v>-6.1764767643753243E-2</v>
      </c>
      <c r="E14" s="12" t="str">
        <f>IF(       0.955&lt;0.01,"***",IF(       0.955&lt;0.05,"**",IF(       0.955&lt;0.1,"*","NS")))</f>
        <v>NS</v>
      </c>
      <c r="G14" s="15" t="s">
        <v>8</v>
      </c>
      <c r="H14" s="11">
        <v>3.85956880998003</v>
      </c>
      <c r="I14" s="11">
        <v>4.1526138711256078</v>
      </c>
      <c r="J14" s="11">
        <v>0.29304506114557854</v>
      </c>
      <c r="K14" s="12" t="str">
        <f>IF(       0.761&lt;0.01,"***",IF(       0.761&lt;0.05,"**",IF(       0.761&lt;0.1,"*","NS")))</f>
        <v>NS</v>
      </c>
      <c r="L14" s="11">
        <v>2.9012289316699951</v>
      </c>
      <c r="M14" s="11">
        <v>-0.95833987831002476</v>
      </c>
      <c r="N14" s="12" t="str">
        <f>IF(       0.688&lt;0.01,"***",IF(       0.688&lt;0.05,"**",IF(       0.688&lt;0.1,"*","NS")))</f>
        <v>NS</v>
      </c>
      <c r="P14" s="15" t="s">
        <v>8</v>
      </c>
      <c r="Q14" s="11">
        <v>3.8860565673265248</v>
      </c>
      <c r="R14" s="11">
        <v>2.9012289316699951</v>
      </c>
      <c r="S14" s="11">
        <v>-0.98482763565653508</v>
      </c>
      <c r="T14" s="12" t="str">
        <f>IF(       0.678&lt;0.01,"***",IF(       0.678&lt;0.05,"**",IF(       0.678&lt;0.1,"*","NS")))</f>
        <v>NS</v>
      </c>
    </row>
    <row r="15" spans="1:20">
      <c r="A15" s="15" t="s">
        <v>10</v>
      </c>
      <c r="B15" s="11">
        <v>29.743180065449131</v>
      </c>
      <c r="C15" s="11">
        <v>36.325034723375254</v>
      </c>
      <c r="D15" s="11">
        <v>6.5818546579263426</v>
      </c>
      <c r="E15" s="12" t="str">
        <f>IF(       0.004&lt;0.01,"***",IF(       0.004&lt;0.05,"**",IF(       0.004&lt;0.1,"*","NS")))</f>
        <v>***</v>
      </c>
      <c r="G15" s="15" t="s">
        <v>10</v>
      </c>
      <c r="H15" s="11">
        <v>29.743180065449131</v>
      </c>
      <c r="I15" s="11">
        <v>39.604291655412233</v>
      </c>
      <c r="J15" s="11">
        <v>9.8611115899629365</v>
      </c>
      <c r="K15" s="12" t="str">
        <f>IF(       0&lt;0.01,"***",IF(       0&lt;0.05,"**",IF(       0&lt;0.1,"*","NS")))</f>
        <v>***</v>
      </c>
      <c r="L15" s="11">
        <v>29.081494261063241</v>
      </c>
      <c r="M15" s="11">
        <v>-0.66168580438592384</v>
      </c>
      <c r="N15" s="12" t="str">
        <f>IF(       0.845&lt;0.01,"***",IF(       0.845&lt;0.05,"**",IF(       0.845&lt;0.1,"*","NS")))</f>
        <v>NS</v>
      </c>
      <c r="P15" s="15" t="s">
        <v>10</v>
      </c>
      <c r="Q15" s="11">
        <v>30.816681380952119</v>
      </c>
      <c r="R15" s="11">
        <v>29.081494261063241</v>
      </c>
      <c r="S15" s="11">
        <v>-1.7351871198887412</v>
      </c>
      <c r="T15" s="12" t="str">
        <f>IF(       0.601&lt;0.01,"***",IF(       0.601&lt;0.05,"**",IF(       0.601&lt;0.1,"*","NS")))</f>
        <v>NS</v>
      </c>
    </row>
    <row r="17" spans="1:20">
      <c r="A17" s="15" t="s">
        <v>200</v>
      </c>
      <c r="G17" s="15" t="s">
        <v>201</v>
      </c>
      <c r="P17" s="15" t="s">
        <v>202</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10.07316719871511</v>
      </c>
      <c r="C19" s="11">
        <v>7.8300004860396966</v>
      </c>
      <c r="D19" s="11">
        <v>-2.2431667126754147</v>
      </c>
      <c r="E19" s="12" t="str">
        <f>IF(       0.172&lt;0.01,"***",IF(       0.172&lt;0.05,"**",IF(       0.172&lt;0.1,"*","NS")))</f>
        <v>NS</v>
      </c>
      <c r="G19" s="15" t="s">
        <v>5</v>
      </c>
      <c r="H19" s="11">
        <v>10.07316719871511</v>
      </c>
      <c r="I19" s="11">
        <v>8.096076579163741</v>
      </c>
      <c r="J19" s="11">
        <v>-1.9770906195513727</v>
      </c>
      <c r="K19" s="12" t="str">
        <f>IF(       0.269&lt;0.01,"***",IF(       0.269&lt;0.05,"**",IF(       0.269&lt;0.1,"*","NS")))</f>
        <v>NS</v>
      </c>
      <c r="L19" s="11">
        <v>7.4377502320977067</v>
      </c>
      <c r="M19" s="11">
        <v>-2.635416966617381</v>
      </c>
      <c r="N19" s="12" t="str">
        <f>IF(       0.319&lt;0.01,"***",IF(       0.319&lt;0.05,"**",IF(       0.319&lt;0.1,"*","NS")))</f>
        <v>NS</v>
      </c>
      <c r="P19" s="15" t="s">
        <v>5</v>
      </c>
      <c r="Q19" s="11">
        <v>9.8891260869950042</v>
      </c>
      <c r="R19" s="11">
        <v>7.4377502320977067</v>
      </c>
      <c r="S19" s="11">
        <v>-2.4513758548973446</v>
      </c>
      <c r="T19" s="12" t="str">
        <f>IF(       0.349&lt;0.01,"***",IF(       0.349&lt;0.05,"**",IF(       0.349&lt;0.1,"*","NS")))</f>
        <v>NS</v>
      </c>
    </row>
    <row r="20" spans="1:20">
      <c r="A20" s="15" t="s">
        <v>6</v>
      </c>
      <c r="B20" s="11">
        <v>14.64990284542985</v>
      </c>
      <c r="C20" s="11">
        <v>14.339281603530869</v>
      </c>
      <c r="D20" s="11">
        <v>-0.31062124189898876</v>
      </c>
      <c r="E20" s="12" t="str">
        <f>IF(       0.907&lt;0.01,"***",IF(       0.907&lt;0.05,"**",IF(       0.907&lt;0.1,"*","NS")))</f>
        <v>NS</v>
      </c>
      <c r="G20" s="15" t="s">
        <v>6</v>
      </c>
      <c r="H20" s="11">
        <v>14.64990284542985</v>
      </c>
      <c r="I20" s="11">
        <v>15.4777334775891</v>
      </c>
      <c r="J20" s="11">
        <v>0.82783063215923081</v>
      </c>
      <c r="K20" s="12" t="str">
        <f>IF(       0.794&lt;0.01,"***",IF(       0.794&lt;0.05,"**",IF(       0.794&lt;0.1,"*","NS")))</f>
        <v>NS</v>
      </c>
      <c r="L20" s="11">
        <v>11.667072644044939</v>
      </c>
      <c r="M20" s="11">
        <v>-2.9828302013848496</v>
      </c>
      <c r="N20" s="12" t="str">
        <f>IF(       0.462&lt;0.01,"***",IF(       0.462&lt;0.05,"**",IF(       0.462&lt;0.1,"*","NS")))</f>
        <v>NS</v>
      </c>
      <c r="P20" s="15" t="s">
        <v>6</v>
      </c>
      <c r="Q20" s="11">
        <v>14.73187933099595</v>
      </c>
      <c r="R20" s="11">
        <v>11.667072644044939</v>
      </c>
      <c r="S20" s="11">
        <v>-3.0648066869509916</v>
      </c>
      <c r="T20" s="12" t="str">
        <f>IF(       0.448&lt;0.01,"***",IF(       0.448&lt;0.05,"**",IF(       0.448&lt;0.1,"*","NS")))</f>
        <v>NS</v>
      </c>
    </row>
    <row r="21" spans="1:20" ht="15.75" customHeight="1">
      <c r="A21" s="15" t="s">
        <v>7</v>
      </c>
      <c r="B21" s="11">
        <v>59.281192630031349</v>
      </c>
      <c r="C21" s="11">
        <v>65.847557606133989</v>
      </c>
      <c r="D21" s="11">
        <v>6.5663649761026175</v>
      </c>
      <c r="E21" s="12" t="str">
        <f>IF(       0.119&lt;0.01,"***",IF(       0.119&lt;0.05,"**",IF(       0.119&lt;0.1,"*","NS")))</f>
        <v>NS</v>
      </c>
      <c r="G21" s="15" t="s">
        <v>7</v>
      </c>
      <c r="H21" s="11">
        <v>59.281192630031349</v>
      </c>
      <c r="I21" s="11">
        <v>67.216500343413813</v>
      </c>
      <c r="J21" s="11">
        <v>7.935307713382489</v>
      </c>
      <c r="K21" s="12" t="str">
        <f>IF(       0.115&lt;0.01,"***",IF(       0.115&lt;0.05,"**",IF(       0.115&lt;0.1,"*","NS")))</f>
        <v>NS</v>
      </c>
      <c r="L21" s="11">
        <v>63.223113980250609</v>
      </c>
      <c r="M21" s="11">
        <v>3.9419213502192969</v>
      </c>
      <c r="N21" s="12" t="str">
        <f>IF(       0.591&lt;0.01,"***",IF(       0.591&lt;0.05,"**",IF(       0.591&lt;0.1,"*","NS")))</f>
        <v>NS</v>
      </c>
      <c r="P21" s="15" t="s">
        <v>7</v>
      </c>
      <c r="Q21" s="11">
        <v>60.008770089213073</v>
      </c>
      <c r="R21" s="11">
        <v>63.223113980250609</v>
      </c>
      <c r="S21" s="11">
        <v>3.2143438910375322</v>
      </c>
      <c r="T21" s="12" t="str">
        <f>IF(       0.662&lt;0.01,"***",IF(       0.662&lt;0.05,"**",IF(       0.662&lt;0.1,"*","NS")))</f>
        <v>NS</v>
      </c>
    </row>
    <row r="22" spans="1:20" ht="15.75" customHeight="1">
      <c r="A22" s="15" t="s">
        <v>8</v>
      </c>
      <c r="B22" s="11">
        <v>4.643530930285201</v>
      </c>
      <c r="C22" s="11">
        <v>3.455995655838529</v>
      </c>
      <c r="D22" s="11">
        <v>-1.1875352744466587</v>
      </c>
      <c r="E22" s="12" t="str">
        <f>IF(       0.41&lt;0.01,"***",IF(       0.41&lt;0.05,"**",IF(       0.41&lt;0.1,"*","NS")))</f>
        <v>NS</v>
      </c>
      <c r="G22" s="15" t="s">
        <v>8</v>
      </c>
      <c r="H22" s="11">
        <v>4.643530930285201</v>
      </c>
      <c r="I22" s="11">
        <v>2.3382401708951819</v>
      </c>
      <c r="J22" s="11">
        <v>-2.3052907593900325</v>
      </c>
      <c r="K22" s="12" t="str">
        <f>IF(       0.044&lt;0.01,"***",IF(       0.044&lt;0.05,"**",IF(       0.044&lt;0.1,"*","NS")))</f>
        <v>**</v>
      </c>
      <c r="L22" s="11">
        <v>5.9524238785649732</v>
      </c>
      <c r="M22" s="11">
        <v>1.3088929482797089</v>
      </c>
      <c r="N22" s="12" t="str">
        <f>IF(       0.66&lt;0.01,"***",IF(       0.66&lt;0.05,"**",IF(       0.66&lt;0.1,"*","NS")))</f>
        <v>NS</v>
      </c>
      <c r="P22" s="15" t="s">
        <v>8</v>
      </c>
      <c r="Q22" s="11">
        <v>4.4330005387415357</v>
      </c>
      <c r="R22" s="11">
        <v>5.9524238785649732</v>
      </c>
      <c r="S22" s="11">
        <v>1.5194233398235131</v>
      </c>
      <c r="T22" s="12" t="str">
        <f>IF(       0.604&lt;0.01,"***",IF(       0.604&lt;0.05,"**",IF(       0.604&lt;0.1,"*","NS")))</f>
        <v>NS</v>
      </c>
    </row>
    <row r="23" spans="1:20" ht="15.75" customHeight="1">
      <c r="A23" s="15" t="s">
        <v>10</v>
      </c>
      <c r="B23" s="11">
        <v>30.15933780080875</v>
      </c>
      <c r="C23" s="11">
        <v>31.437491965676269</v>
      </c>
      <c r="D23" s="11">
        <v>1.2781541648675525</v>
      </c>
      <c r="E23" s="12" t="str">
        <f>IF(       0.64&lt;0.01,"***",IF(       0.64&lt;0.05,"**",IF(       0.64&lt;0.1,"*","NS")))</f>
        <v>NS</v>
      </c>
      <c r="G23" s="15" t="s">
        <v>10</v>
      </c>
      <c r="H23" s="11">
        <v>30.15933780080875</v>
      </c>
      <c r="I23" s="11">
        <v>32.32718852408231</v>
      </c>
      <c r="J23" s="11">
        <v>2.1678507232735766</v>
      </c>
      <c r="K23" s="12" t="str">
        <f>IF(       0.539&lt;0.01,"***",IF(       0.539&lt;0.05,"**",IF(       0.539&lt;0.1,"*","NS")))</f>
        <v>NS</v>
      </c>
      <c r="L23" s="11">
        <v>29.774422437975218</v>
      </c>
      <c r="M23" s="11">
        <v>-0.38491536283348959</v>
      </c>
      <c r="N23" s="12" t="str">
        <f>IF(       0.932&lt;0.01,"***",IF(       0.932&lt;0.05,"**",IF(       0.932&lt;0.1,"*","NS")))</f>
        <v>NS</v>
      </c>
      <c r="P23" s="15" t="s">
        <v>10</v>
      </c>
      <c r="Q23" s="11">
        <v>30.361384344313279</v>
      </c>
      <c r="R23" s="11">
        <v>29.774422437975218</v>
      </c>
      <c r="S23" s="11">
        <v>-0.58696190633809464</v>
      </c>
      <c r="T23" s="12" t="str">
        <f>IF(       0.896&lt;0.01,"***",IF(       0.896&lt;0.05,"**",IF(       0.896&lt;0.1,"*","NS")))</f>
        <v>NS</v>
      </c>
    </row>
    <row r="24" spans="1:20" ht="15.75" customHeight="1"/>
    <row r="25" spans="1:20" ht="15.75" customHeight="1">
      <c r="A25" s="15" t="s">
        <v>203</v>
      </c>
      <c r="G25" s="15" t="s">
        <v>204</v>
      </c>
      <c r="P25" s="15" t="s">
        <v>205</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6.707397788493612</v>
      </c>
      <c r="C27" s="11">
        <v>5.251141808526862</v>
      </c>
      <c r="D27" s="11">
        <v>-1.4562559799667427</v>
      </c>
      <c r="E27" s="12" t="str">
        <f>IF(       0.269&lt;0.01,"***",IF(       0.269&lt;0.05,"**",IF(       0.269&lt;0.1,"*","NS")))</f>
        <v>NS</v>
      </c>
      <c r="G27" s="15" t="s">
        <v>5</v>
      </c>
      <c r="H27" s="11">
        <v>6.707397788493612</v>
      </c>
      <c r="I27" s="11">
        <v>6.0258080926280151</v>
      </c>
      <c r="J27" s="11">
        <v>-0.68158969586559059</v>
      </c>
      <c r="K27" s="12" t="str">
        <f>IF(       0.697&lt;0.01,"***",IF(       0.697&lt;0.05,"**",IF(       0.697&lt;0.1,"*","NS")))</f>
        <v>NS</v>
      </c>
      <c r="L27" s="11">
        <v>4.1057339286683554</v>
      </c>
      <c r="M27" s="11">
        <v>-2.6016638598253636</v>
      </c>
      <c r="N27" s="12" t="str">
        <f>IF(       0.243&lt;0.01,"***",IF(       0.243&lt;0.05,"**",IF(       0.243&lt;0.1,"*","NS")))</f>
        <v>NS</v>
      </c>
      <c r="P27" s="15" t="s">
        <v>5</v>
      </c>
      <c r="Q27" s="11">
        <v>6.6457681723495723</v>
      </c>
      <c r="R27" s="11">
        <v>4.1057339286683554</v>
      </c>
      <c r="S27" s="11">
        <v>-2.5400342436812795</v>
      </c>
      <c r="T27" s="12" t="str">
        <f>IF(       0.258&lt;0.01,"***",IF(       0.258&lt;0.05,"**",IF(       0.258&lt;0.1,"*","NS")))</f>
        <v>NS</v>
      </c>
    </row>
    <row r="28" spans="1:20" ht="15.75" customHeight="1">
      <c r="A28" s="15" t="s">
        <v>6</v>
      </c>
      <c r="B28" s="11">
        <v>4.8553706134807646</v>
      </c>
      <c r="C28" s="11">
        <v>5.1999879797518362</v>
      </c>
      <c r="D28" s="11">
        <v>0.34461736627107015</v>
      </c>
      <c r="E28" s="12" t="str">
        <f>IF(       0.89&lt;0.01,"***",IF(       0.89&lt;0.05,"**",IF(       0.89&lt;0.1,"*","NS")))</f>
        <v>NS</v>
      </c>
      <c r="G28" s="15" t="s">
        <v>6</v>
      </c>
      <c r="H28" s="11">
        <v>4.8553706134807646</v>
      </c>
      <c r="I28" s="11">
        <v>5.7614979052192838</v>
      </c>
      <c r="J28" s="11">
        <v>0.90612729173855</v>
      </c>
      <c r="K28" s="12" t="str">
        <f>IF(       0.802&lt;0.01,"***",IF(       0.802&lt;0.05,"**",IF(       0.802&lt;0.1,"*","NS")))</f>
        <v>NS</v>
      </c>
      <c r="L28" s="11">
        <v>3.9248539716494069</v>
      </c>
      <c r="M28" s="11">
        <v>-0.93051664183138139</v>
      </c>
      <c r="N28" s="12" t="str">
        <f>IF(       0.524&lt;0.01,"***",IF(       0.524&lt;0.05,"**",IF(       0.524&lt;0.1,"*","NS")))</f>
        <v>NS</v>
      </c>
      <c r="P28" s="15" t="s">
        <v>6</v>
      </c>
      <c r="Q28" s="11">
        <v>4.9370345375431359</v>
      </c>
      <c r="R28" s="11">
        <v>3.9248539716494069</v>
      </c>
      <c r="S28" s="11">
        <v>-1.0121805658936944</v>
      </c>
      <c r="T28" s="12" t="str">
        <f>IF(       0.511&lt;0.01,"***",IF(       0.511&lt;0.05,"**",IF(       0.511&lt;0.1,"*","NS")))</f>
        <v>NS</v>
      </c>
    </row>
    <row r="29" spans="1:20" ht="15.75" customHeight="1">
      <c r="A29" s="15" t="s">
        <v>7</v>
      </c>
      <c r="B29" s="11">
        <v>13.84175969694107</v>
      </c>
      <c r="C29" s="11">
        <v>11.9559688386351</v>
      </c>
      <c r="D29" s="11">
        <v>-1.8857908583058804</v>
      </c>
      <c r="E29" s="12" t="str">
        <f>IF(       0.568&lt;0.01,"***",IF(       0.568&lt;0.05,"**",IF(       0.568&lt;0.1,"*","NS")))</f>
        <v>NS</v>
      </c>
      <c r="G29" s="15" t="s">
        <v>7</v>
      </c>
      <c r="H29" s="11">
        <v>13.84175969694107</v>
      </c>
      <c r="I29" s="11">
        <v>13.32223817891837</v>
      </c>
      <c r="J29" s="11">
        <v>-0.51952151802266799</v>
      </c>
      <c r="K29" s="12" t="str">
        <f>IF(       0.903&lt;0.01,"***",IF(       0.903&lt;0.05,"**",IF(       0.903&lt;0.1,"*","NS")))</f>
        <v>NS</v>
      </c>
      <c r="L29" s="11">
        <v>9.3956978851297972</v>
      </c>
      <c r="M29" s="11">
        <v>-4.446061811811389</v>
      </c>
      <c r="N29" s="12" t="str">
        <f>IF(       0.104&lt;0.01,"***",IF(       0.104&lt;0.05,"**",IF(       0.104&lt;0.1,"*","NS")))</f>
        <v>NS</v>
      </c>
      <c r="P29" s="15" t="s">
        <v>7</v>
      </c>
      <c r="Q29" s="11">
        <v>13.783977296833431</v>
      </c>
      <c r="R29" s="11">
        <v>9.3956978851297972</v>
      </c>
      <c r="S29" s="11">
        <v>-4.3882794117034871</v>
      </c>
      <c r="T29" s="12" t="str">
        <f>IF(       0.087&lt;0.01,"***",IF(       0.087&lt;0.05,"**",IF(       0.087&lt;0.1,"*","NS")))</f>
        <v>*</v>
      </c>
    </row>
    <row r="30" spans="1:20" ht="15.75" customHeight="1">
      <c r="A30" s="15" t="s">
        <v>8</v>
      </c>
      <c r="B30" s="11">
        <v>2.282634956625277</v>
      </c>
      <c r="C30" s="11">
        <v>1.1014833623207529</v>
      </c>
      <c r="D30" s="11">
        <v>-1.1811515943045596</v>
      </c>
      <c r="E30" s="12" t="str">
        <f>IF(       0.047&lt;0.01,"***",IF(       0.047&lt;0.05,"**",IF(       0.047&lt;0.1,"*","NS")))</f>
        <v>**</v>
      </c>
      <c r="G30" s="15" t="s">
        <v>8</v>
      </c>
      <c r="H30" s="11">
        <v>2.282634956625277</v>
      </c>
      <c r="I30" s="11">
        <v>1.559108000733437</v>
      </c>
      <c r="J30" s="11">
        <v>-0.72352695589186211</v>
      </c>
      <c r="K30" s="12" t="str">
        <f>IF(       0.243&lt;0.01,"***",IF(       0.243&lt;0.05,"**",IF(       0.243&lt;0.1,"*","NS")))</f>
        <v>NS</v>
      </c>
      <c r="L30" s="11">
        <v>0</v>
      </c>
      <c r="M30" s="11">
        <v>-2.2826349566252033</v>
      </c>
      <c r="N30" s="12" t="str">
        <f>IF(       0.004&lt;0.01,"***",IF(       0.004&lt;0.05,"**",IF(       0.004&lt;0.1,"*","NS")))</f>
        <v>***</v>
      </c>
      <c r="P30" s="15" t="s">
        <v>8</v>
      </c>
      <c r="Q30" s="11">
        <v>2.215730997449517</v>
      </c>
      <c r="R30" s="11">
        <v>0</v>
      </c>
      <c r="S30" s="11">
        <v>-2.2157309974495889</v>
      </c>
      <c r="T30" s="12" t="str">
        <f>IF(       0.004&lt;0.01,"***",IF(       0.004&lt;0.05,"**",IF(       0.004&lt;0.1,"*","NS")))</f>
        <v>***</v>
      </c>
    </row>
    <row r="31" spans="1:20" ht="15.75" customHeight="1">
      <c r="A31" s="15" t="s">
        <v>10</v>
      </c>
      <c r="B31" s="11">
        <v>6.3669476163661054</v>
      </c>
      <c r="C31" s="11">
        <v>5.5782834545480444</v>
      </c>
      <c r="D31" s="11">
        <v>-0.78866416181801358</v>
      </c>
      <c r="E31" s="12" t="str">
        <f>IF(       0.385&lt;0.01,"***",IF(       0.385&lt;0.05,"**",IF(       0.385&lt;0.1,"*","NS")))</f>
        <v>NS</v>
      </c>
      <c r="G31" s="15" t="s">
        <v>10</v>
      </c>
      <c r="H31" s="11">
        <v>6.3669476163661054</v>
      </c>
      <c r="I31" s="11">
        <v>6.2808132433244657</v>
      </c>
      <c r="J31" s="11">
        <v>-8.6134373041627091E-2</v>
      </c>
      <c r="K31" s="12" t="str">
        <f>IF(       0.946&lt;0.01,"***",IF(       0.946&lt;0.05,"**",IF(       0.946&lt;0.1,"*","NS")))</f>
        <v>NS</v>
      </c>
      <c r="L31" s="11">
        <v>4.3019017203479724</v>
      </c>
      <c r="M31" s="11">
        <v>-2.065045896018344</v>
      </c>
      <c r="N31" s="12" t="str">
        <f>IF(       0.089&lt;0.01,"***",IF(       0.089&lt;0.05,"**",IF(       0.089&lt;0.1,"*","NS")))</f>
        <v>*</v>
      </c>
      <c r="P31" s="15" t="s">
        <v>10</v>
      </c>
      <c r="Q31" s="11">
        <v>6.3588833412299488</v>
      </c>
      <c r="R31" s="11">
        <v>4.3019017203479724</v>
      </c>
      <c r="S31" s="11">
        <v>-2.0569816208821079</v>
      </c>
      <c r="T31" s="12" t="str">
        <f>IF(       0.094&lt;0.01,"***",IF(       0.094&lt;0.05,"**",IF(       0.094&lt;0.1,"*","NS")))</f>
        <v>*</v>
      </c>
    </row>
    <row r="32" spans="1:20" ht="15.75" customHeight="1"/>
    <row r="33" spans="1:20" ht="15.75" customHeight="1">
      <c r="A33" s="15" t="s">
        <v>206</v>
      </c>
      <c r="G33" s="15" t="s">
        <v>207</v>
      </c>
      <c r="P33" s="15" t="s">
        <v>208</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25.970149097555179</v>
      </c>
      <c r="C35" s="11">
        <v>30.30187821282691</v>
      </c>
      <c r="D35" s="11">
        <v>4.3317291152716093</v>
      </c>
      <c r="E35" s="12" t="str">
        <f>IF(       0.249&lt;0.01,"***",IF(       0.249&lt;0.05,"**",IF(       0.249&lt;0.1,"*","NS")))</f>
        <v>NS</v>
      </c>
      <c r="G35" s="15" t="s">
        <v>5</v>
      </c>
      <c r="H35" s="11">
        <v>25.970149097555179</v>
      </c>
      <c r="I35" s="11">
        <v>26.34067426296718</v>
      </c>
      <c r="J35" s="11">
        <v>0.37052516541201241</v>
      </c>
      <c r="K35" s="12" t="str">
        <f>IF(       0.92&lt;0.01,"***",IF(       0.92&lt;0.05,"**",IF(       0.92&lt;0.1,"*","NS")))</f>
        <v>NS</v>
      </c>
      <c r="L35" s="11">
        <v>36.853108688176263</v>
      </c>
      <c r="M35" s="11">
        <v>10.882959590621057</v>
      </c>
      <c r="N35" s="12" t="str">
        <f>IF(       0.053&lt;0.01,"***",IF(       0.053&lt;0.05,"**",IF(       0.053&lt;0.1,"*","NS")))</f>
        <v>*</v>
      </c>
      <c r="P35" s="15" t="s">
        <v>5</v>
      </c>
      <c r="Q35" s="11">
        <v>26.00574198402364</v>
      </c>
      <c r="R35" s="11">
        <v>36.853108688176263</v>
      </c>
      <c r="S35" s="11">
        <v>10.847366704152828</v>
      </c>
      <c r="T35" s="12" t="str">
        <f>IF(       0.049&lt;0.01,"***",IF(       0.049&lt;0.05,"**",IF(       0.049&lt;0.1,"*","NS")))</f>
        <v>**</v>
      </c>
    </row>
    <row r="36" spans="1:20" ht="15.75" customHeight="1">
      <c r="A36" s="15" t="s">
        <v>6</v>
      </c>
      <c r="B36" s="11">
        <v>38.417933584541153</v>
      </c>
      <c r="C36" s="11">
        <v>36.178808824889963</v>
      </c>
      <c r="D36" s="11">
        <v>-2.2391247596511925</v>
      </c>
      <c r="E36" s="12" t="str">
        <f>IF(       0.685&lt;0.01,"***",IF(       0.685&lt;0.05,"**",IF(       0.685&lt;0.1,"*","NS")))</f>
        <v>NS</v>
      </c>
      <c r="G36" s="15" t="s">
        <v>6</v>
      </c>
      <c r="H36" s="11">
        <v>38.417933584541153</v>
      </c>
      <c r="I36" s="11">
        <v>39.711483881699621</v>
      </c>
      <c r="J36" s="11">
        <v>1.2935502971584922</v>
      </c>
      <c r="K36" s="12" t="str">
        <f>IF(       0.785&lt;0.01,"***",IF(       0.785&lt;0.05,"**",IF(       0.785&lt;0.1,"*","NS")))</f>
        <v>NS</v>
      </c>
      <c r="L36" s="11">
        <v>24.277300009314779</v>
      </c>
      <c r="M36" s="11">
        <v>-14.140633575226092</v>
      </c>
      <c r="N36" s="12" t="str">
        <f>IF(       0.152&lt;0.01,"***",IF(       0.152&lt;0.05,"**",IF(       0.152&lt;0.1,"*","NS")))</f>
        <v>NS</v>
      </c>
      <c r="P36" s="15" t="s">
        <v>6</v>
      </c>
      <c r="Q36" s="11">
        <v>38.551189702624413</v>
      </c>
      <c r="R36" s="11">
        <v>24.277300009314779</v>
      </c>
      <c r="S36" s="11">
        <v>-14.273889693309856</v>
      </c>
      <c r="T36" s="12" t="str">
        <f>IF(       0.133&lt;0.01,"***",IF(       0.133&lt;0.05,"**",IF(       0.133&lt;0.1,"*","NS")))</f>
        <v>NS</v>
      </c>
    </row>
    <row r="37" spans="1:20" ht="15.75" customHeight="1">
      <c r="A37" s="15" t="s">
        <v>7</v>
      </c>
      <c r="B37" s="11">
        <v>71.034551621793682</v>
      </c>
      <c r="C37" s="11">
        <v>76.91399974563933</v>
      </c>
      <c r="D37" s="11">
        <v>5.879448123845707</v>
      </c>
      <c r="E37" s="12" t="str">
        <f>IF(       0.112&lt;0.01,"***",IF(       0.112&lt;0.05,"**",IF(       0.112&lt;0.1,"*","NS")))</f>
        <v>NS</v>
      </c>
      <c r="G37" s="15" t="s">
        <v>7</v>
      </c>
      <c r="H37" s="11">
        <v>71.034551621793682</v>
      </c>
      <c r="I37" s="11">
        <v>79.174650447676129</v>
      </c>
      <c r="J37" s="11">
        <v>8.1400988258825091</v>
      </c>
      <c r="K37" s="12" t="str">
        <f>IF(       0.028&lt;0.01,"***",IF(       0.028&lt;0.05,"**",IF(       0.028&lt;0.1,"*","NS")))</f>
        <v>**</v>
      </c>
      <c r="L37" s="11">
        <v>71.501429833680078</v>
      </c>
      <c r="M37" s="11">
        <v>0.46687821188638357</v>
      </c>
      <c r="N37" s="12" t="str">
        <f>IF(       0.939&lt;0.01,"***",IF(       0.939&lt;0.05,"**",IF(       0.939&lt;0.1,"*","NS")))</f>
        <v>NS</v>
      </c>
      <c r="P37" s="15" t="s">
        <v>7</v>
      </c>
      <c r="Q37" s="11">
        <v>72.000611430905707</v>
      </c>
      <c r="R37" s="11">
        <v>71.501429833680078</v>
      </c>
      <c r="S37" s="11">
        <v>-0.49918159722560468</v>
      </c>
      <c r="T37" s="12" t="str">
        <f>IF(       0.933&lt;0.01,"***",IF(       0.933&lt;0.05,"**",IF(       0.933&lt;0.1,"*","NS")))</f>
        <v>NS</v>
      </c>
    </row>
    <row r="38" spans="1:20" ht="15.75" customHeight="1">
      <c r="A38" s="15" t="s">
        <v>8</v>
      </c>
      <c r="B38" s="11">
        <v>8.530756468195289</v>
      </c>
      <c r="C38" s="11">
        <v>9.582606583269051</v>
      </c>
      <c r="D38" s="11">
        <v>1.0518501150737682</v>
      </c>
      <c r="E38" s="12" t="str">
        <f>IF(       0.724&lt;0.01,"***",IF(       0.724&lt;0.05,"**",IF(       0.724&lt;0.1,"*","NS")))</f>
        <v>NS</v>
      </c>
      <c r="G38" s="15" t="s">
        <v>8</v>
      </c>
      <c r="H38" s="11">
        <v>8.530756468195289</v>
      </c>
      <c r="I38" s="11">
        <v>7.4582391618745358</v>
      </c>
      <c r="J38" s="11">
        <v>-1.0725173063207545</v>
      </c>
      <c r="K38" s="12" t="str">
        <f>IF(       0.647&lt;0.01,"***",IF(       0.647&lt;0.05,"**",IF(       0.647&lt;0.1,"*","NS")))</f>
        <v>NS</v>
      </c>
      <c r="L38" s="11">
        <v>14.51716913338125</v>
      </c>
      <c r="M38" s="11">
        <v>5.9864126651858696</v>
      </c>
      <c r="N38" s="12" t="str">
        <f>IF(       0.238&lt;0.01,"***",IF(       0.238&lt;0.05,"**",IF(       0.238&lt;0.1,"*","NS")))</f>
        <v>NS</v>
      </c>
      <c r="P38" s="15" t="s">
        <v>8</v>
      </c>
      <c r="Q38" s="11">
        <v>8.4372988468149224</v>
      </c>
      <c r="R38" s="11">
        <v>14.51716913338125</v>
      </c>
      <c r="S38" s="11">
        <v>6.0798702865663055</v>
      </c>
      <c r="T38" s="12" t="str">
        <f>IF(       0.216&lt;0.01,"***",IF(       0.216&lt;0.05,"**",IF(       0.216&lt;0.1,"*","NS")))</f>
        <v>NS</v>
      </c>
    </row>
    <row r="39" spans="1:20" ht="15.75" customHeight="1">
      <c r="A39" s="15" t="s">
        <v>10</v>
      </c>
      <c r="B39" s="11">
        <v>55.826433391652678</v>
      </c>
      <c r="C39" s="11">
        <v>62.707290518400697</v>
      </c>
      <c r="D39" s="11">
        <v>6.8808571267480376</v>
      </c>
      <c r="E39" s="12" t="str">
        <f>IF(       0.018&lt;0.01,"***",IF(       0.018&lt;0.05,"**",IF(       0.018&lt;0.1,"*","NS")))</f>
        <v>**</v>
      </c>
      <c r="G39" s="15" t="s">
        <v>10</v>
      </c>
      <c r="H39" s="11">
        <v>55.826433391652678</v>
      </c>
      <c r="I39" s="11">
        <v>64.373826293614542</v>
      </c>
      <c r="J39" s="11">
        <v>8.5473929019622741</v>
      </c>
      <c r="K39" s="12" t="str">
        <f>IF(       0.004&lt;0.01,"***",IF(       0.004&lt;0.05,"**",IF(       0.004&lt;0.1,"*","NS")))</f>
        <v>***</v>
      </c>
      <c r="L39" s="11">
        <v>58.793917166482437</v>
      </c>
      <c r="M39" s="11">
        <v>2.9674837748299829</v>
      </c>
      <c r="N39" s="12" t="str">
        <f>IF(       0.543&lt;0.01,"***",IF(       0.543&lt;0.05,"**",IF(       0.543&lt;0.1,"*","NS")))</f>
        <v>NS</v>
      </c>
      <c r="P39" s="15" t="s">
        <v>10</v>
      </c>
      <c r="Q39" s="11">
        <v>56.77733502668648</v>
      </c>
      <c r="R39" s="11">
        <v>58.793917166482437</v>
      </c>
      <c r="S39" s="11">
        <v>2.0165821397959882</v>
      </c>
      <c r="T39" s="12" t="str">
        <f>IF(       0.674&lt;0.01,"***",IF(       0.674&lt;0.05,"**",IF(       0.674&lt;0.1,"*","NS")))</f>
        <v>NS</v>
      </c>
    </row>
    <row r="40" spans="1:20" ht="15.75" customHeight="1"/>
    <row r="41" spans="1:20" ht="15.75" customHeight="1">
      <c r="A41" s="15" t="s">
        <v>209</v>
      </c>
      <c r="G41" s="15" t="s">
        <v>210</v>
      </c>
      <c r="P41" s="15" t="s">
        <v>211</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10.5499331092032</v>
      </c>
      <c r="C43" s="11">
        <v>12.49872320952956</v>
      </c>
      <c r="D43" s="11">
        <v>1.9487901003264267</v>
      </c>
      <c r="E43" s="12" t="str">
        <f>IF(       0.313&lt;0.01,"***",IF(       0.313&lt;0.05,"**",IF(       0.313&lt;0.1,"*","NS")))</f>
        <v>NS</v>
      </c>
      <c r="G43" s="15" t="s">
        <v>5</v>
      </c>
      <c r="H43" s="11">
        <v>10.5499331092032</v>
      </c>
      <c r="I43" s="11">
        <v>14.898750975843321</v>
      </c>
      <c r="J43" s="11">
        <v>4.3488178666402328</v>
      </c>
      <c r="K43" s="12" t="str">
        <f>IF(       0.117&lt;0.01,"***",IF(       0.117&lt;0.05,"**",IF(       0.117&lt;0.1,"*","NS")))</f>
        <v>NS</v>
      </c>
      <c r="L43" s="11">
        <v>8.8669418188771605</v>
      </c>
      <c r="M43" s="11">
        <v>-1.6829912903260964</v>
      </c>
      <c r="N43" s="12" t="str">
        <f>IF(       0.883&lt;0.01,"***",IF(       0.883&lt;0.05,"**",IF(       0.883&lt;0.1,"*","NS")))</f>
        <v>NS</v>
      </c>
      <c r="P43" s="15" t="s">
        <v>5</v>
      </c>
      <c r="Q43" s="11">
        <v>10.69922319026554</v>
      </c>
      <c r="R43" s="11">
        <v>8.8669418188771605</v>
      </c>
      <c r="S43" s="11">
        <v>-1.8322813713883916</v>
      </c>
      <c r="T43" s="12" t="str">
        <f>IF(       0.513&lt;0.01,"***",IF(       0.513&lt;0.05,"**",IF(       0.513&lt;0.1,"*","NS")))</f>
        <v>NS</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60.848663141063987</v>
      </c>
      <c r="C45" s="11">
        <v>68.313634585692157</v>
      </c>
      <c r="D45" s="11">
        <v>7.4649714446282136</v>
      </c>
      <c r="E45" s="12" t="str">
        <f>IF(       0.124&lt;0.01,"***",IF(       0.124&lt;0.05,"**",IF(       0.124&lt;0.1,"*","NS")))</f>
        <v>NS</v>
      </c>
      <c r="G45" s="15" t="s">
        <v>7</v>
      </c>
      <c r="H45" s="11">
        <v>60.848663141063987</v>
      </c>
      <c r="I45" s="11">
        <v>69.811759535128232</v>
      </c>
      <c r="J45" s="11">
        <v>8.9630963940645056</v>
      </c>
      <c r="K45" s="12" t="str">
        <f>IF(       0.068&lt;0.01,"***",IF(       0.068&lt;0.05,"**",IF(       0.068&lt;0.1,"*","NS")))</f>
        <v>*</v>
      </c>
      <c r="L45" s="11">
        <v>62.792123350793311</v>
      </c>
      <c r="M45" s="11">
        <v>1.9434602097292737</v>
      </c>
      <c r="N45" s="12" t="str">
        <f>IF(       0.251&lt;0.01,"***",IF(       0.251&lt;0.05,"**",IF(       0.251&lt;0.1,"*","NS")))</f>
        <v>NS</v>
      </c>
      <c r="P45" s="15" t="s">
        <v>7</v>
      </c>
      <c r="Q45" s="11">
        <v>61.459269724663663</v>
      </c>
      <c r="R45" s="11">
        <v>62.792123350793311</v>
      </c>
      <c r="S45" s="11">
        <v>1.3328536261297013</v>
      </c>
      <c r="T45" s="12" t="str">
        <f>IF(       0.843&lt;0.01,"***",IF(       0.843&lt;0.05,"**",IF(       0.843&lt;0.1,"*","NS")))</f>
        <v>NS</v>
      </c>
    </row>
    <row r="46" spans="1:20" ht="15.75" customHeight="1">
      <c r="A46" s="15" t="s">
        <v>8</v>
      </c>
      <c r="B46" s="11">
        <v>4.3848329292571382</v>
      </c>
      <c r="C46" s="11">
        <v>2.9786497435529289</v>
      </c>
      <c r="D46" s="11">
        <v>-1.4061831857042761</v>
      </c>
      <c r="E46" s="12" t="str">
        <f>IF(       0.314&lt;0.01,"***",IF(       0.314&lt;0.05,"**",IF(       0.314&lt;0.1,"*","NS")))</f>
        <v>NS</v>
      </c>
      <c r="G46" s="15" t="s">
        <v>8</v>
      </c>
      <c r="H46" s="11">
        <v>4.3848329292571382</v>
      </c>
      <c r="I46" s="11">
        <v>3.2297995562959851</v>
      </c>
      <c r="J46" s="11">
        <v>-1.1550333729611293</v>
      </c>
      <c r="K46" s="12" t="str">
        <f>IF(       0.345&lt;0.01,"***",IF(       0.345&lt;0.05,"**",IF(       0.345&lt;0.1,"*","NS")))</f>
        <v>NS</v>
      </c>
      <c r="L46" s="11">
        <v>2.0802050785166828</v>
      </c>
      <c r="M46" s="11">
        <v>-2.3046278507403204</v>
      </c>
      <c r="N46" s="12" t="str">
        <f>IF(       0.779&lt;0.01,"***",IF(       0.779&lt;0.05,"**",IF(       0.779&lt;0.1,"*","NS")))</f>
        <v>NS</v>
      </c>
      <c r="P46" s="15" t="s">
        <v>8</v>
      </c>
      <c r="Q46" s="11">
        <v>4.3309291024452783</v>
      </c>
      <c r="R46" s="11">
        <v>2.0802050785166828</v>
      </c>
      <c r="S46" s="11">
        <v>-2.2507240239286355</v>
      </c>
      <c r="T46" s="12" t="str">
        <f>IF(       0.327&lt;0.01,"***",IF(       0.327&lt;0.05,"**",IF(       0.327&lt;0.1,"*","NS")))</f>
        <v>NS</v>
      </c>
    </row>
    <row r="47" spans="1:20" ht="15.75" customHeight="1">
      <c r="A47" s="15" t="s">
        <v>10</v>
      </c>
      <c r="B47" s="11">
        <v>30.36726712908364</v>
      </c>
      <c r="C47" s="11">
        <v>40.424884254780338</v>
      </c>
      <c r="D47" s="11">
        <v>10.057617125696753</v>
      </c>
      <c r="E47" s="12" t="str">
        <f>IF(       0.004&lt;0.01,"***",IF(       0.004&lt;0.05,"**",IF(       0.004&lt;0.1,"*","NS")))</f>
        <v>***</v>
      </c>
      <c r="G47" s="15" t="s">
        <v>10</v>
      </c>
      <c r="H47" s="11">
        <v>30.36726712908364</v>
      </c>
      <c r="I47" s="11">
        <v>44.014205640524757</v>
      </c>
      <c r="J47" s="11">
        <v>13.646938511440791</v>
      </c>
      <c r="K47" s="12" t="str">
        <f>IF(       0&lt;0.01,"***",IF(       0&lt;0.05,"**",IF(       0&lt;0.1,"*","NS")))</f>
        <v>***</v>
      </c>
      <c r="L47" s="11">
        <v>30.387839388023441</v>
      </c>
      <c r="M47" s="11">
        <v>2.0572258939837471E-2</v>
      </c>
      <c r="N47" s="12" t="str">
        <f>IF(       0.996&lt;0.01,"***",IF(       0.996&lt;0.05,"**",IF(       0.996&lt;0.1,"*","NS")))</f>
        <v>NS</v>
      </c>
      <c r="P47" s="15" t="s">
        <v>10</v>
      </c>
      <c r="Q47" s="11">
        <v>31.057118251647161</v>
      </c>
      <c r="R47" s="11">
        <v>30.387839388023441</v>
      </c>
      <c r="S47" s="11">
        <v>-0.66927886362375444</v>
      </c>
      <c r="T47" s="12" t="str">
        <f>IF(       0.875&lt;0.01,"***",IF(       0.875&lt;0.05,"**",IF(       0.875&lt;0.1,"*","NS")))</f>
        <v>NS</v>
      </c>
    </row>
    <row r="48" spans="1:20" ht="15.75" customHeight="1"/>
    <row r="49" spans="1:20" ht="15.75" customHeight="1">
      <c r="A49" s="15" t="s">
        <v>212</v>
      </c>
      <c r="G49" s="15" t="s">
        <v>213</v>
      </c>
      <c r="P49" s="15" t="s">
        <v>214</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10.693440044550311</v>
      </c>
      <c r="C51" s="11">
        <v>9.5810281322287079</v>
      </c>
      <c r="D51" s="11">
        <v>-1.1124119123215817</v>
      </c>
      <c r="E51" s="12" t="str">
        <f>IF(       0.607&lt;0.01,"***",IF(       0.607&lt;0.05,"**",IF(       0.607&lt;0.1,"*","NS")))</f>
        <v>NS</v>
      </c>
      <c r="G51" s="15" t="s">
        <v>5</v>
      </c>
      <c r="H51" s="11">
        <v>10.693440044550311</v>
      </c>
      <c r="I51" s="11">
        <v>8.6035824989303258</v>
      </c>
      <c r="J51" s="11">
        <v>-2.089857545620005</v>
      </c>
      <c r="K51" s="12" t="str">
        <f>IF(       0.351&lt;0.01,"***",IF(       0.351&lt;0.05,"**",IF(       0.351&lt;0.1,"*","NS")))</f>
        <v>NS</v>
      </c>
      <c r="L51" s="11">
        <v>11.05924668661612</v>
      </c>
      <c r="M51" s="11">
        <v>0.36580664206580032</v>
      </c>
      <c r="N51" s="12" t="str">
        <f>IF(       0.906&lt;0.01,"***",IF(       0.906&lt;0.05,"**",IF(       0.906&lt;0.1,"*","NS")))</f>
        <v>NS</v>
      </c>
      <c r="P51" s="15" t="s">
        <v>5</v>
      </c>
      <c r="Q51" s="11">
        <v>10.17363710761996</v>
      </c>
      <c r="R51" s="11">
        <v>11.05924668661612</v>
      </c>
      <c r="S51" s="11">
        <v>0.88560957899613368</v>
      </c>
      <c r="T51" s="12" t="str">
        <f>IF(       0.762&lt;0.01,"***",IF(       0.762&lt;0.05,"**",IF(       0.762&lt;0.1,"*","NS")))</f>
        <v>NS</v>
      </c>
    </row>
    <row r="52" spans="1:20" ht="15.75" customHeight="1">
      <c r="A52" s="15" t="s">
        <v>6</v>
      </c>
      <c r="B52" s="11">
        <v>12.492251499774889</v>
      </c>
      <c r="C52" s="11">
        <v>13.18541924197006</v>
      </c>
      <c r="D52" s="11">
        <v>0.69316774219516653</v>
      </c>
      <c r="E52" s="12" t="str">
        <f>IF(       0.752&lt;0.01,"***",IF(       0.752&lt;0.05,"**",IF(       0.752&lt;0.1,"*","NS")))</f>
        <v>NS</v>
      </c>
      <c r="G52" s="15" t="s">
        <v>6</v>
      </c>
      <c r="H52" s="11">
        <v>12.492251499774889</v>
      </c>
      <c r="I52" s="11">
        <v>14.954896897101859</v>
      </c>
      <c r="J52" s="11">
        <v>2.4626453973269409</v>
      </c>
      <c r="K52" s="12" t="str">
        <f>IF(       0.297&lt;0.01,"***",IF(       0.297&lt;0.05,"**",IF(       0.297&lt;0.1,"*","NS")))</f>
        <v>NS</v>
      </c>
      <c r="L52" s="11">
        <v>8.9086738934446306</v>
      </c>
      <c r="M52" s="11">
        <v>-3.5835776063302887</v>
      </c>
      <c r="N52" s="12" t="str">
        <f>IF(       0.272&lt;0.01,"***",IF(       0.272&lt;0.05,"**",IF(       0.272&lt;0.1,"*","NS")))</f>
        <v>NS</v>
      </c>
      <c r="P52" s="15" t="s">
        <v>6</v>
      </c>
      <c r="Q52" s="11">
        <v>13.06878142458298</v>
      </c>
      <c r="R52" s="11">
        <v>8.9086738934446306</v>
      </c>
      <c r="S52" s="11">
        <v>-4.1601075311383555</v>
      </c>
      <c r="T52" s="12" t="str">
        <f>IF(       0.178&lt;0.01,"***",IF(       0.178&lt;0.05,"**",IF(       0.178&lt;0.1,"*","NS")))</f>
        <v>NS</v>
      </c>
    </row>
    <row r="53" spans="1:20" ht="15.75" customHeight="1">
      <c r="A53" s="15" t="s">
        <v>7</v>
      </c>
      <c r="B53" s="11">
        <v>60.081002217030473</v>
      </c>
      <c r="C53" s="11">
        <v>63.150369489927449</v>
      </c>
      <c r="D53" s="11">
        <v>3.0693672728970323</v>
      </c>
      <c r="E53" s="12" t="str">
        <f>IF(       0.403&lt;0.01,"***",IF(       0.403&lt;0.05,"**",IF(       0.403&lt;0.1,"*","NS")))</f>
        <v>NS</v>
      </c>
      <c r="G53" s="15" t="s">
        <v>7</v>
      </c>
      <c r="H53" s="11">
        <v>60.081002217030473</v>
      </c>
      <c r="I53" s="11">
        <v>66.560978157748565</v>
      </c>
      <c r="J53" s="11">
        <v>6.4799759407180053</v>
      </c>
      <c r="K53" s="12" t="str">
        <f>IF(       0.124&lt;0.01,"***",IF(       0.124&lt;0.05,"**",IF(       0.124&lt;0.1,"*","NS")))</f>
        <v>NS</v>
      </c>
      <c r="L53" s="11">
        <v>57.070843723397061</v>
      </c>
      <c r="M53" s="11">
        <v>-3.0101584936334245</v>
      </c>
      <c r="N53" s="12" t="str">
        <f>IF(       0.613&lt;0.01,"***",IF(       0.613&lt;0.05,"**",IF(       0.613&lt;0.1,"*","NS")))</f>
        <v>NS</v>
      </c>
      <c r="P53" s="15" t="s">
        <v>7</v>
      </c>
      <c r="Q53" s="11">
        <v>61.724435000960298</v>
      </c>
      <c r="R53" s="11">
        <v>57.070843723397061</v>
      </c>
      <c r="S53" s="11">
        <v>-4.6535912775632484</v>
      </c>
      <c r="T53" s="12" t="str">
        <f>IF(       0.428&lt;0.01,"***",IF(       0.428&lt;0.05,"**",IF(       0.428&lt;0.1,"*","NS")))</f>
        <v>NS</v>
      </c>
    </row>
    <row r="54" spans="1:20" ht="15.75" customHeight="1">
      <c r="A54" s="15" t="s">
        <v>8</v>
      </c>
      <c r="B54" s="11">
        <v>3.771739362563256</v>
      </c>
      <c r="C54" s="11">
        <v>3.951065274488371</v>
      </c>
      <c r="D54" s="11">
        <v>0.1793259119251161</v>
      </c>
      <c r="E54" s="12" t="str">
        <f>IF(       0.858&lt;0.01,"***",IF(       0.858&lt;0.05,"**",IF(       0.858&lt;0.1,"*","NS")))</f>
        <v>NS</v>
      </c>
      <c r="G54" s="15" t="s">
        <v>8</v>
      </c>
      <c r="H54" s="11">
        <v>3.771739362563256</v>
      </c>
      <c r="I54" s="11">
        <v>3.3531841292357538</v>
      </c>
      <c r="J54" s="11">
        <v>-0.41855523332749955</v>
      </c>
      <c r="K54" s="12" t="str">
        <f>IF(       0.691&lt;0.01,"***",IF(       0.691&lt;0.05,"**",IF(       0.691&lt;0.1,"*","NS")))</f>
        <v>NS</v>
      </c>
      <c r="L54" s="11">
        <v>5.1495908534792676</v>
      </c>
      <c r="M54" s="11">
        <v>1.3778514909160235</v>
      </c>
      <c r="N54" s="12" t="str">
        <f>IF(       0.315&lt;0.01,"***",IF(       0.315&lt;0.05,"**",IF(       0.315&lt;0.1,"*","NS")))</f>
        <v>NS</v>
      </c>
      <c r="P54" s="15" t="s">
        <v>8</v>
      </c>
      <c r="Q54" s="11">
        <v>3.6905352719557758</v>
      </c>
      <c r="R54" s="11">
        <v>5.1495908534792676</v>
      </c>
      <c r="S54" s="11">
        <v>1.4590555815235087</v>
      </c>
      <c r="T54" s="12" t="str">
        <f>IF(       0.254&lt;0.01,"***",IF(       0.254&lt;0.05,"**",IF(       0.254&lt;0.1,"*","NS")))</f>
        <v>NS</v>
      </c>
    </row>
    <row r="55" spans="1:20" ht="15.75" customHeight="1">
      <c r="A55" s="15" t="s">
        <v>10</v>
      </c>
      <c r="B55" s="11">
        <v>28.456453458805431</v>
      </c>
      <c r="C55" s="11">
        <v>31.352709617158801</v>
      </c>
      <c r="D55" s="11">
        <v>2.8962561583533351</v>
      </c>
      <c r="E55" s="12" t="str">
        <f>IF(       0.183&lt;0.01,"***",IF(       0.183&lt;0.05,"**",IF(       0.183&lt;0.1,"*","NS")))</f>
        <v>NS</v>
      </c>
      <c r="G55" s="15" t="s">
        <v>10</v>
      </c>
      <c r="H55" s="11">
        <v>28.456453458805431</v>
      </c>
      <c r="I55" s="11">
        <v>32.651624534095291</v>
      </c>
      <c r="J55" s="11">
        <v>4.1951710752898377</v>
      </c>
      <c r="K55" s="12" t="str">
        <f>IF(       0.092&lt;0.01,"***",IF(       0.092&lt;0.05,"**",IF(       0.092&lt;0.1,"*","NS")))</f>
        <v>*</v>
      </c>
      <c r="L55" s="11">
        <v>29.019596349866049</v>
      </c>
      <c r="M55" s="11">
        <v>0.56314289106062321</v>
      </c>
      <c r="N55" s="12" t="str">
        <f>IF(       0.883&lt;0.01,"***",IF(       0.883&lt;0.05,"**",IF(       0.883&lt;0.1,"*","NS")))</f>
        <v>NS</v>
      </c>
      <c r="P55" s="15" t="s">
        <v>10</v>
      </c>
      <c r="Q55" s="11">
        <v>29.459504299894881</v>
      </c>
      <c r="R55" s="11">
        <v>29.019596349866049</v>
      </c>
      <c r="S55" s="11">
        <v>-0.4399079500288377</v>
      </c>
      <c r="T55" s="12" t="str">
        <f>IF(       0.909&lt;0.01,"***",IF(       0.909&lt;0.05,"**",IF(       0.909&lt;0.1,"*","NS")))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215</v>
      </c>
      <c r="G1" s="15" t="s">
        <v>216</v>
      </c>
      <c r="P1" s="15" t="s">
        <v>217</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71.710942589447697</v>
      </c>
      <c r="C3" s="11">
        <v>68.701628596998901</v>
      </c>
      <c r="D3" s="11">
        <v>-3.0093139924487495</v>
      </c>
      <c r="E3" s="12" t="str">
        <f>IF(       0.083&lt;0.01,"***",IF(       0.083&lt;0.05,"**",IF(       0.083&lt;0.1,"*","NS")))</f>
        <v>*</v>
      </c>
      <c r="G3" s="15" t="s">
        <v>5</v>
      </c>
      <c r="H3" s="11">
        <v>71.710942589447697</v>
      </c>
      <c r="I3" s="11">
        <v>66.459716126791236</v>
      </c>
      <c r="J3" s="11">
        <v>-5.2512264626564482</v>
      </c>
      <c r="K3" s="12" t="str">
        <f>IF(       0.003&lt;0.01,"***",IF(       0.003&lt;0.05,"**",IF(       0.003&lt;0.1,"*","NS")))</f>
        <v>***</v>
      </c>
      <c r="L3" s="11">
        <v>72.092688174001296</v>
      </c>
      <c r="M3" s="11">
        <v>0.38174558455354801</v>
      </c>
      <c r="N3" s="12" t="str">
        <f>IF(       0.902&lt;0.01,"***",IF(       0.902&lt;0.05,"**",IF(       0.902&lt;0.1,"*","NS")))</f>
        <v>NS</v>
      </c>
      <c r="P3" s="15" t="s">
        <v>5</v>
      </c>
      <c r="Q3" s="11">
        <v>71.230137962604203</v>
      </c>
      <c r="R3" s="11">
        <v>72.092688174001296</v>
      </c>
      <c r="S3" s="11">
        <v>0.86255021139696664</v>
      </c>
      <c r="T3" s="12" t="str">
        <f>IF(       0.78&lt;0.01,"***",IF(       0.78&lt;0.05,"**",IF(       0.78&lt;0.1,"*","NS")))</f>
        <v>NS</v>
      </c>
    </row>
    <row r="4" spans="1:20">
      <c r="A4" s="15" t="s">
        <v>6</v>
      </c>
      <c r="B4" s="11">
        <v>63.640220652502563</v>
      </c>
      <c r="C4" s="11">
        <v>59.976168726897363</v>
      </c>
      <c r="D4" s="11">
        <v>-3.6640519256050612</v>
      </c>
      <c r="E4" s="12" t="str">
        <f>IF(       0.209&lt;0.01,"***",IF(       0.209&lt;0.05,"**",IF(       0.209&lt;0.1,"*","NS")))</f>
        <v>NS</v>
      </c>
      <c r="G4" s="15" t="s">
        <v>6</v>
      </c>
      <c r="H4" s="11">
        <v>63.640220652502563</v>
      </c>
      <c r="I4" s="11">
        <v>61.258007977069681</v>
      </c>
      <c r="J4" s="11">
        <v>-2.3822126754328283</v>
      </c>
      <c r="K4" s="12" t="str">
        <f>IF(       0.441&lt;0.01,"***",IF(       0.441&lt;0.05,"**",IF(       0.441&lt;0.1,"*","NS")))</f>
        <v>NS</v>
      </c>
      <c r="L4" s="11">
        <v>56.706443911574937</v>
      </c>
      <c r="M4" s="11">
        <v>-6.9337767409274722</v>
      </c>
      <c r="N4" s="12" t="str">
        <f>IF(       0.084&lt;0.01,"***",IF(       0.084&lt;0.05,"**",IF(       0.084&lt;0.1,"*","NS")))</f>
        <v>*</v>
      </c>
      <c r="P4" s="15" t="s">
        <v>6</v>
      </c>
      <c r="Q4" s="11">
        <v>63.416082613927131</v>
      </c>
      <c r="R4" s="11">
        <v>56.706443911574937</v>
      </c>
      <c r="S4" s="11">
        <v>-6.7096387023524269</v>
      </c>
      <c r="T4" s="12" t="str">
        <f>IF(       0.085&lt;0.01,"***",IF(       0.085&lt;0.05,"**",IF(       0.085&lt;0.1,"*","NS")))</f>
        <v>*</v>
      </c>
    </row>
    <row r="5" spans="1:20">
      <c r="A5" s="15" t="s">
        <v>7</v>
      </c>
      <c r="B5" s="11">
        <v>91.531452896970876</v>
      </c>
      <c r="C5" s="11">
        <v>88.684048565988562</v>
      </c>
      <c r="D5" s="11">
        <v>-2.8474043309822683</v>
      </c>
      <c r="E5" s="12" t="str">
        <f>IF(       0.054&lt;0.01,"***",IF(       0.054&lt;0.05,"**",IF(       0.054&lt;0.1,"*","NS")))</f>
        <v>*</v>
      </c>
      <c r="G5" s="15" t="s">
        <v>7</v>
      </c>
      <c r="H5" s="11">
        <v>91.531452896970876</v>
      </c>
      <c r="I5" s="11">
        <v>88.295862583648912</v>
      </c>
      <c r="J5" s="11">
        <v>-3.2355903133220361</v>
      </c>
      <c r="K5" s="12" t="str">
        <f>IF(       0.083&lt;0.01,"***",IF(       0.083&lt;0.05,"**",IF(       0.083&lt;0.1,"*","NS")))</f>
        <v>*</v>
      </c>
      <c r="L5" s="11">
        <v>89.57145398426124</v>
      </c>
      <c r="M5" s="11">
        <v>-1.9599989127096342</v>
      </c>
      <c r="N5" s="12" t="str">
        <f>IF(       0.353&lt;0.01,"***",IF(       0.353&lt;0.05,"**",IF(       0.353&lt;0.1,"*","NS")))</f>
        <v>NS</v>
      </c>
      <c r="P5" s="15" t="s">
        <v>7</v>
      </c>
      <c r="Q5" s="11">
        <v>91.151795428496925</v>
      </c>
      <c r="R5" s="11">
        <v>89.57145398426124</v>
      </c>
      <c r="S5" s="11">
        <v>-1.5803414442357162</v>
      </c>
      <c r="T5" s="12" t="str">
        <f>IF(       0.454&lt;0.01,"***",IF(       0.454&lt;0.05,"**",IF(       0.454&lt;0.1,"*","NS")))</f>
        <v>NS</v>
      </c>
    </row>
    <row r="6" spans="1:20">
      <c r="A6" s="15" t="s">
        <v>8</v>
      </c>
      <c r="B6" s="11">
        <v>32.4405089482363</v>
      </c>
      <c r="C6" s="11">
        <v>31.855128320274439</v>
      </c>
      <c r="D6" s="11">
        <v>-0.58538062796182633</v>
      </c>
      <c r="E6" s="12" t="str">
        <f>IF(       0.773&lt;0.01,"***",IF(       0.773&lt;0.05,"**",IF(       0.773&lt;0.1,"*","NS")))</f>
        <v>NS</v>
      </c>
      <c r="G6" s="15" t="s">
        <v>8</v>
      </c>
      <c r="H6" s="11">
        <v>32.4405089482363</v>
      </c>
      <c r="I6" s="11">
        <v>31.921421075883721</v>
      </c>
      <c r="J6" s="11">
        <v>-0.51908787235256759</v>
      </c>
      <c r="K6" s="12" t="str">
        <f>IF(       0.827&lt;0.01,"***",IF(       0.827&lt;0.05,"**",IF(       0.827&lt;0.1,"*","NS")))</f>
        <v>NS</v>
      </c>
      <c r="L6" s="11">
        <v>31.697260103078762</v>
      </c>
      <c r="M6" s="11">
        <v>-0.74324884515756784</v>
      </c>
      <c r="N6" s="12" t="str">
        <f>IF(       0.84&lt;0.01,"***",IF(       0.84&lt;0.05,"**",IF(       0.84&lt;0.1,"*","NS")))</f>
        <v>NS</v>
      </c>
      <c r="P6" s="15" t="s">
        <v>8</v>
      </c>
      <c r="Q6" s="11">
        <v>32.393364701526252</v>
      </c>
      <c r="R6" s="11">
        <v>31.697260103078762</v>
      </c>
      <c r="S6" s="11">
        <v>-0.6961045984475418</v>
      </c>
      <c r="T6" s="12" t="str">
        <f>IF(       0.85&lt;0.01,"***",IF(       0.85&lt;0.05,"**",IF(       0.85&lt;0.1,"*","NS")))</f>
        <v>NS</v>
      </c>
    </row>
    <row r="7" spans="1:20">
      <c r="A7" s="15" t="s">
        <v>10</v>
      </c>
      <c r="B7" s="11">
        <v>72.110628350647787</v>
      </c>
      <c r="C7" s="11">
        <v>71.554611249765586</v>
      </c>
      <c r="D7" s="11">
        <v>-0.55601710088214495</v>
      </c>
      <c r="E7" s="12" t="str">
        <f>IF(       0.657&lt;0.01,"***",IF(       0.657&lt;0.05,"**",IF(       0.657&lt;0.1,"*","NS")))</f>
        <v>NS</v>
      </c>
      <c r="G7" s="15" t="s">
        <v>10</v>
      </c>
      <c r="H7" s="11">
        <v>72.110628350647787</v>
      </c>
      <c r="I7" s="11">
        <v>71.005796707203089</v>
      </c>
      <c r="J7" s="11">
        <v>-1.1048316434445797</v>
      </c>
      <c r="K7" s="12" t="str">
        <f>IF(       0.466&lt;0.01,"***",IF(       0.466&lt;0.05,"**",IF(       0.466&lt;0.1,"*","NS")))</f>
        <v>NS</v>
      </c>
      <c r="L7" s="11">
        <v>72.685940712988454</v>
      </c>
      <c r="M7" s="11">
        <v>0.57531236234066807</v>
      </c>
      <c r="N7" s="12" t="str">
        <f>IF(       0.757&lt;0.01,"***",IF(       0.757&lt;0.05,"**",IF(       0.757&lt;0.1,"*","NS")))</f>
        <v>NS</v>
      </c>
      <c r="P7" s="15" t="s">
        <v>10</v>
      </c>
      <c r="Q7" s="11">
        <v>71.997818345584861</v>
      </c>
      <c r="R7" s="11">
        <v>72.685940712988454</v>
      </c>
      <c r="S7" s="11">
        <v>0.68812236740355104</v>
      </c>
      <c r="T7" s="12" t="str">
        <f>IF(       0.709&lt;0.01,"***",IF(       0.709&lt;0.05,"**",IF(       0.709&lt;0.1,"*","NS")))</f>
        <v>NS</v>
      </c>
    </row>
    <row r="9" spans="1:20">
      <c r="A9" s="15" t="s">
        <v>218</v>
      </c>
      <c r="G9" s="15" t="s">
        <v>219</v>
      </c>
      <c r="P9" s="15" t="s">
        <v>220</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73.592504655291123</v>
      </c>
      <c r="C11" s="11">
        <v>70.116584021873564</v>
      </c>
      <c r="D11" s="11">
        <v>-3.4759206334175539</v>
      </c>
      <c r="E11" s="12" t="str">
        <f>IF(       0.102&lt;0.01,"***",IF(       0.102&lt;0.05,"**",IF(       0.102&lt;0.1,"*","NS")))</f>
        <v>NS</v>
      </c>
      <c r="G11" s="15" t="s">
        <v>5</v>
      </c>
      <c r="H11" s="11">
        <v>73.592504655291123</v>
      </c>
      <c r="I11" s="11">
        <v>68.789512860410412</v>
      </c>
      <c r="J11" s="11">
        <v>-4.8029917948808292</v>
      </c>
      <c r="K11" s="12" t="str">
        <f>IF(       0.033&lt;0.01,"***",IF(       0.033&lt;0.05,"**",IF(       0.033&lt;0.1,"*","NS")))</f>
        <v>**</v>
      </c>
      <c r="L11" s="11">
        <v>72.160796084211654</v>
      </c>
      <c r="M11" s="11">
        <v>-1.4317085710794155</v>
      </c>
      <c r="N11" s="12" t="str">
        <f>IF(       0.714&lt;0.01,"***",IF(       0.714&lt;0.05,"**",IF(       0.714&lt;0.1,"*","NS")))</f>
        <v>NS</v>
      </c>
      <c r="P11" s="15" t="s">
        <v>5</v>
      </c>
      <c r="Q11" s="11">
        <v>73.157687687014814</v>
      </c>
      <c r="R11" s="11">
        <v>72.160796084211654</v>
      </c>
      <c r="S11" s="11">
        <v>-0.99689160280313982</v>
      </c>
      <c r="T11" s="12" t="str">
        <f>IF(       0.799&lt;0.01,"***",IF(       0.799&lt;0.05,"**",IF(       0.799&lt;0.1,"*","NS")))</f>
        <v>NS</v>
      </c>
    </row>
    <row r="12" spans="1:20">
      <c r="A12" s="15" t="s">
        <v>6</v>
      </c>
      <c r="B12" s="11">
        <v>63.884210877611153</v>
      </c>
      <c r="C12" s="11">
        <v>64.629854108224976</v>
      </c>
      <c r="D12" s="11">
        <v>0.74564323061385263</v>
      </c>
      <c r="E12" s="12" t="str">
        <f>IF(       0.829&lt;0.01,"***",IF(       0.829&lt;0.05,"**",IF(       0.829&lt;0.1,"*","NS")))</f>
        <v>NS</v>
      </c>
      <c r="G12" s="15" t="s">
        <v>6</v>
      </c>
      <c r="H12" s="11">
        <v>63.884210877611153</v>
      </c>
      <c r="I12" s="11">
        <v>66.887515350053903</v>
      </c>
      <c r="J12" s="11">
        <v>3.0033044724427347</v>
      </c>
      <c r="K12" s="12" t="str">
        <f>IF(       0.39&lt;0.01,"***",IF(       0.39&lt;0.05,"**",IF(       0.39&lt;0.1,"*","NS")))</f>
        <v>NS</v>
      </c>
      <c r="L12" s="11">
        <v>58.450431221735393</v>
      </c>
      <c r="M12" s="11">
        <v>-5.4337796558757239</v>
      </c>
      <c r="N12" s="12" t="str">
        <f>IF(       0.291&lt;0.01,"***",IF(       0.291&lt;0.05,"**",IF(       0.291&lt;0.1,"*","NS")))</f>
        <v>NS</v>
      </c>
      <c r="P12" s="15" t="s">
        <v>6</v>
      </c>
      <c r="Q12" s="11">
        <v>64.156146413127018</v>
      </c>
      <c r="R12" s="11">
        <v>58.450431221735393</v>
      </c>
      <c r="S12" s="11">
        <v>-5.7057151913916924</v>
      </c>
      <c r="T12" s="12" t="str">
        <f>IF(       0.253&lt;0.01,"***",IF(       0.253&lt;0.05,"**",IF(       0.253&lt;0.1,"*","NS")))</f>
        <v>NS</v>
      </c>
    </row>
    <row r="13" spans="1:20">
      <c r="A13" s="15" t="s">
        <v>7</v>
      </c>
      <c r="B13" s="11">
        <v>91.792131038007213</v>
      </c>
      <c r="C13" s="11">
        <v>89.003618508935773</v>
      </c>
      <c r="D13" s="11">
        <v>-2.7885125290715016</v>
      </c>
      <c r="E13" s="12" t="str">
        <f>IF(       0.102&lt;0.01,"***",IF(       0.102&lt;0.05,"**",IF(       0.102&lt;0.1,"*","NS")))</f>
        <v>NS</v>
      </c>
      <c r="G13" s="15" t="s">
        <v>7</v>
      </c>
      <c r="H13" s="11">
        <v>91.792131038007213</v>
      </c>
      <c r="I13" s="11">
        <v>89.128809498090916</v>
      </c>
      <c r="J13" s="11">
        <v>-2.6633215399163324</v>
      </c>
      <c r="K13" s="12" t="str">
        <f>IF(       0.187&lt;0.01,"***",IF(       0.187&lt;0.05,"**",IF(       0.187&lt;0.1,"*","NS")))</f>
        <v>NS</v>
      </c>
      <c r="L13" s="11">
        <v>88.684604954048936</v>
      </c>
      <c r="M13" s="11">
        <v>-3.1075260839582075</v>
      </c>
      <c r="N13" s="12" t="str">
        <f>IF(       0.207&lt;0.01,"***",IF(       0.207&lt;0.05,"**",IF(       0.207&lt;0.1,"*","NS")))</f>
        <v>NS</v>
      </c>
      <c r="P13" s="15" t="s">
        <v>7</v>
      </c>
      <c r="Q13" s="11">
        <v>91.424655508127358</v>
      </c>
      <c r="R13" s="11">
        <v>88.684604954048936</v>
      </c>
      <c r="S13" s="11">
        <v>-2.7400505540784668</v>
      </c>
      <c r="T13" s="12" t="str">
        <f>IF(       0.26&lt;0.01,"***",IF(       0.26&lt;0.05,"**",IF(       0.26&lt;0.1,"*","NS")))</f>
        <v>NS</v>
      </c>
    </row>
    <row r="14" spans="1:20">
      <c r="A14" s="15" t="s">
        <v>8</v>
      </c>
      <c r="B14" s="11">
        <v>32.419906358071657</v>
      </c>
      <c r="C14" s="11">
        <v>33.829255529769192</v>
      </c>
      <c r="D14" s="11">
        <v>1.4093491716975912</v>
      </c>
      <c r="E14" s="12" t="str">
        <f>IF(       0.594&lt;0.01,"***",IF(       0.594&lt;0.05,"**",IF(       0.594&lt;0.1,"*","NS")))</f>
        <v>NS</v>
      </c>
      <c r="G14" s="15" t="s">
        <v>8</v>
      </c>
      <c r="H14" s="11">
        <v>32.419906358071657</v>
      </c>
      <c r="I14" s="11">
        <v>33.258132961689753</v>
      </c>
      <c r="J14" s="11">
        <v>0.83822660361812207</v>
      </c>
      <c r="K14" s="12" t="str">
        <f>IF(       0.773&lt;0.01,"***",IF(       0.773&lt;0.05,"**",IF(       0.773&lt;0.1,"*","NS")))</f>
        <v>NS</v>
      </c>
      <c r="L14" s="11">
        <v>35.272435053366507</v>
      </c>
      <c r="M14" s="11">
        <v>2.8525286952949109</v>
      </c>
      <c r="N14" s="12" t="str">
        <f>IF(       0.583&lt;0.01,"***",IF(       0.583&lt;0.05,"**",IF(       0.583&lt;0.1,"*","NS")))</f>
        <v>NS</v>
      </c>
      <c r="P14" s="15" t="s">
        <v>8</v>
      </c>
      <c r="Q14" s="11">
        <v>32.495671985348288</v>
      </c>
      <c r="R14" s="11">
        <v>35.272435053366507</v>
      </c>
      <c r="S14" s="11">
        <v>2.7767630680182878</v>
      </c>
      <c r="T14" s="12" t="str">
        <f>IF(       0.593&lt;0.01,"***",IF(       0.593&lt;0.05,"**",IF(       0.593&lt;0.1,"*","NS")))</f>
        <v>NS</v>
      </c>
    </row>
    <row r="15" spans="1:20">
      <c r="A15" s="15" t="s">
        <v>10</v>
      </c>
      <c r="B15" s="11">
        <v>72.736134425220726</v>
      </c>
      <c r="C15" s="11">
        <v>74.148996780299527</v>
      </c>
      <c r="D15" s="11">
        <v>1.4128623550787418</v>
      </c>
      <c r="E15" s="12" t="str">
        <f>IF(       0.324&lt;0.01,"***",IF(       0.324&lt;0.05,"**",IF(       0.324&lt;0.1,"*","NS")))</f>
        <v>NS</v>
      </c>
      <c r="G15" s="15" t="s">
        <v>10</v>
      </c>
      <c r="H15" s="11">
        <v>72.736134425220726</v>
      </c>
      <c r="I15" s="11">
        <v>74.307513714992083</v>
      </c>
      <c r="J15" s="11">
        <v>1.5713792897713301</v>
      </c>
      <c r="K15" s="12" t="str">
        <f>IF(       0.324&lt;0.01,"***",IF(       0.324&lt;0.05,"**",IF(       0.324&lt;0.1,"*","NS")))</f>
        <v>NS</v>
      </c>
      <c r="L15" s="11">
        <v>73.798849215102791</v>
      </c>
      <c r="M15" s="11">
        <v>1.0627147898820639</v>
      </c>
      <c r="N15" s="12" t="str">
        <f>IF(       0.632&lt;0.01,"***",IF(       0.632&lt;0.05,"**",IF(       0.632&lt;0.1,"*","NS")))</f>
        <v>NS</v>
      </c>
      <c r="P15" s="15" t="s">
        <v>10</v>
      </c>
      <c r="Q15" s="11">
        <v>72.907198074519727</v>
      </c>
      <c r="R15" s="11">
        <v>73.798849215102791</v>
      </c>
      <c r="S15" s="11">
        <v>0.89165114058305217</v>
      </c>
      <c r="T15" s="12" t="str">
        <f>IF(       0.683&lt;0.01,"***",IF(       0.683&lt;0.05,"**",IF(       0.683&lt;0.1,"*","NS")))</f>
        <v>NS</v>
      </c>
    </row>
    <row r="17" spans="1:20">
      <c r="A17" s="15" t="s">
        <v>221</v>
      </c>
      <c r="G17" s="15" t="s">
        <v>222</v>
      </c>
      <c r="P17" s="15" t="s">
        <v>223</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68.914737501834054</v>
      </c>
      <c r="C19" s="11">
        <v>66.697763752503221</v>
      </c>
      <c r="D19" s="11">
        <v>-2.2169737493308053</v>
      </c>
      <c r="E19" s="12" t="str">
        <f>IF(       0.426&lt;0.01,"***",IF(       0.426&lt;0.05,"**",IF(       0.426&lt;0.1,"*","NS")))</f>
        <v>NS</v>
      </c>
      <c r="G19" s="15" t="s">
        <v>5</v>
      </c>
      <c r="H19" s="11">
        <v>68.914737501834054</v>
      </c>
      <c r="I19" s="11">
        <v>63.10193479797725</v>
      </c>
      <c r="J19" s="11">
        <v>-5.8128027038568568</v>
      </c>
      <c r="K19" s="12" t="str">
        <f>IF(       0.073&lt;0.01,"***",IF(       0.073&lt;0.05,"**",IF(       0.073&lt;0.1,"*","NS")))</f>
        <v>*</v>
      </c>
      <c r="L19" s="11">
        <v>71.998746655492639</v>
      </c>
      <c r="M19" s="11">
        <v>3.0840091536585921</v>
      </c>
      <c r="N19" s="12" t="str">
        <f>IF(       0.43&lt;0.01,"***",IF(       0.43&lt;0.05,"**",IF(       0.43&lt;0.1,"*","NS")))</f>
        <v>NS</v>
      </c>
      <c r="P19" s="15" t="s">
        <v>5</v>
      </c>
      <c r="Q19" s="11">
        <v>68.373642085544958</v>
      </c>
      <c r="R19" s="11">
        <v>71.998746655492639</v>
      </c>
      <c r="S19" s="11">
        <v>3.6251045699477542</v>
      </c>
      <c r="T19" s="12" t="str">
        <f>IF(       0.348&lt;0.01,"***",IF(       0.348&lt;0.05,"**",IF(       0.348&lt;0.1,"*","NS")))</f>
        <v>NS</v>
      </c>
    </row>
    <row r="20" spans="1:20">
      <c r="A20" s="15" t="s">
        <v>6</v>
      </c>
      <c r="B20" s="11">
        <v>63.296970988318037</v>
      </c>
      <c r="C20" s="11">
        <v>54.298114910178043</v>
      </c>
      <c r="D20" s="11">
        <v>-8.9988560781400349</v>
      </c>
      <c r="E20" s="12" t="str">
        <f>IF(       0.01&lt;0.01,"***",IF(       0.01&lt;0.05,"**",IF(       0.01&lt;0.1,"*","NS")))</f>
        <v>**</v>
      </c>
      <c r="G20" s="15" t="s">
        <v>6</v>
      </c>
      <c r="H20" s="11">
        <v>63.296970988318037</v>
      </c>
      <c r="I20" s="11">
        <v>54.084058798089707</v>
      </c>
      <c r="J20" s="11">
        <v>-9.2129121902282982</v>
      </c>
      <c r="K20" s="12" t="str">
        <f>IF(       0.016&lt;0.01,"***",IF(       0.016&lt;0.05,"**",IF(       0.016&lt;0.1,"*","NS")))</f>
        <v>**</v>
      </c>
      <c r="L20" s="11">
        <v>54.800553944791027</v>
      </c>
      <c r="M20" s="11">
        <v>-8.4964170435271296</v>
      </c>
      <c r="N20" s="12" t="str">
        <f>IF(       0.141&lt;0.01,"***",IF(       0.141&lt;0.05,"**",IF(       0.141&lt;0.1,"*","NS")))</f>
        <v>NS</v>
      </c>
      <c r="P20" s="15" t="s">
        <v>6</v>
      </c>
      <c r="Q20" s="11">
        <v>62.384656157427983</v>
      </c>
      <c r="R20" s="11">
        <v>54.800553944791027</v>
      </c>
      <c r="S20" s="11">
        <v>-7.5841022126370063</v>
      </c>
      <c r="T20" s="12" t="str">
        <f>IF(       0.182&lt;0.01,"***",IF(       0.182&lt;0.05,"**",IF(       0.182&lt;0.1,"*","NS")))</f>
        <v>NS</v>
      </c>
    </row>
    <row r="21" spans="1:20" ht="15.75" customHeight="1">
      <c r="A21" s="15" t="s">
        <v>7</v>
      </c>
      <c r="B21" s="11">
        <v>91.223994046082083</v>
      </c>
      <c r="C21" s="11">
        <v>88.137129521387479</v>
      </c>
      <c r="D21" s="11">
        <v>-3.0868645246946413</v>
      </c>
      <c r="E21" s="12" t="str">
        <f>IF(       0.159&lt;0.01,"***",IF(       0.159&lt;0.05,"**",IF(       0.159&lt;0.1,"*","NS")))</f>
        <v>NS</v>
      </c>
      <c r="G21" s="15" t="s">
        <v>7</v>
      </c>
      <c r="H21" s="11">
        <v>91.223994046082083</v>
      </c>
      <c r="I21" s="11">
        <v>86.73808780892567</v>
      </c>
      <c r="J21" s="11">
        <v>-4.4859062371564296</v>
      </c>
      <c r="K21" s="12" t="str">
        <f>IF(       0.133&lt;0.01,"***",IF(       0.133&lt;0.05,"**",IF(       0.133&lt;0.1,"*","NS")))</f>
        <v>NS</v>
      </c>
      <c r="L21" s="11">
        <v>90.819276849121067</v>
      </c>
      <c r="M21" s="11">
        <v>-0.40471719696102521</v>
      </c>
      <c r="N21" s="12" t="str">
        <f>IF(       0.892&lt;0.01,"***",IF(       0.892&lt;0.05,"**",IF(       0.892&lt;0.1,"*","NS")))</f>
        <v>NS</v>
      </c>
      <c r="P21" s="15" t="s">
        <v>7</v>
      </c>
      <c r="Q21" s="11">
        <v>90.812687467932207</v>
      </c>
      <c r="R21" s="11">
        <v>90.819276849121067</v>
      </c>
      <c r="S21" s="11">
        <v>6.5893811888569492E-3</v>
      </c>
      <c r="T21" s="12" t="str">
        <f>IF(       0.998&lt;0.01,"***",IF(       0.998&lt;0.05,"**",IF(       0.998&lt;0.1,"*","NS")))</f>
        <v>NS</v>
      </c>
    </row>
    <row r="22" spans="1:20" ht="15.75" customHeight="1">
      <c r="A22" s="15" t="s">
        <v>8</v>
      </c>
      <c r="B22" s="11">
        <v>32.464475512723709</v>
      </c>
      <c r="C22" s="11">
        <v>29.666125338389651</v>
      </c>
      <c r="D22" s="11">
        <v>-2.7983501743340433</v>
      </c>
      <c r="E22" s="12" t="str">
        <f>IF(       0.354&lt;0.01,"***",IF(       0.354&lt;0.05,"**",IF(       0.354&lt;0.1,"*","NS")))</f>
        <v>NS</v>
      </c>
      <c r="G22" s="15" t="s">
        <v>8</v>
      </c>
      <c r="H22" s="11">
        <v>32.464475512723709</v>
      </c>
      <c r="I22" s="11">
        <v>30.383989051384741</v>
      </c>
      <c r="J22" s="11">
        <v>-2.080486461338944</v>
      </c>
      <c r="K22" s="12" t="str">
        <f>IF(       0.574&lt;0.01,"***",IF(       0.574&lt;0.05,"**",IF(       0.574&lt;0.1,"*","NS")))</f>
        <v>NS</v>
      </c>
      <c r="L22" s="11">
        <v>28.0628272491989</v>
      </c>
      <c r="M22" s="11">
        <v>-4.4016482635247787</v>
      </c>
      <c r="N22" s="12" t="str">
        <f>IF(       0.39&lt;0.01,"***",IF(       0.39&lt;0.05,"**",IF(       0.39&lt;0.1,"*","NS")))</f>
        <v>NS</v>
      </c>
      <c r="P22" s="15" t="s">
        <v>8</v>
      </c>
      <c r="Q22" s="11">
        <v>32.274475345706648</v>
      </c>
      <c r="R22" s="11">
        <v>28.0628272491989</v>
      </c>
      <c r="S22" s="11">
        <v>-4.2116480965078873</v>
      </c>
      <c r="T22" s="12" t="str">
        <f>IF(       0.412&lt;0.01,"***",IF(       0.412&lt;0.05,"**",IF(       0.412&lt;0.1,"*","NS")))</f>
        <v>NS</v>
      </c>
    </row>
    <row r="23" spans="1:20" ht="15.75" customHeight="1">
      <c r="A23" s="15" t="s">
        <v>10</v>
      </c>
      <c r="B23" s="11">
        <v>71.30042390879693</v>
      </c>
      <c r="C23" s="11">
        <v>67.774557925891003</v>
      </c>
      <c r="D23" s="11">
        <v>-3.5258659829059629</v>
      </c>
      <c r="E23" s="12" t="str">
        <f>IF(       0.052&lt;0.01,"***",IF(       0.052&lt;0.05,"**",IF(       0.052&lt;0.1,"*","NS")))</f>
        <v>*</v>
      </c>
      <c r="G23" s="15" t="s">
        <v>10</v>
      </c>
      <c r="H23" s="11">
        <v>71.30042390879693</v>
      </c>
      <c r="I23" s="11">
        <v>65.92275635987825</v>
      </c>
      <c r="J23" s="11">
        <v>-5.3776675489186561</v>
      </c>
      <c r="K23" s="12" t="str">
        <f>IF(       0.025&lt;0.01,"***",IF(       0.025&lt;0.05,"**",IF(       0.025&lt;0.1,"*","NS")))</f>
        <v>**</v>
      </c>
      <c r="L23" s="11">
        <v>71.236046819702594</v>
      </c>
      <c r="M23" s="11">
        <v>-6.4377089094354287E-2</v>
      </c>
      <c r="N23" s="12" t="str">
        <f>IF(       0.98&lt;0.01,"***",IF(       0.98&lt;0.05,"**",IF(       0.98&lt;0.1,"*","NS")))</f>
        <v>NS</v>
      </c>
      <c r="P23" s="15" t="s">
        <v>10</v>
      </c>
      <c r="Q23" s="11">
        <v>70.799218208279513</v>
      </c>
      <c r="R23" s="11">
        <v>71.236046819702594</v>
      </c>
      <c r="S23" s="11">
        <v>0.4368286114230725</v>
      </c>
      <c r="T23" s="12" t="str">
        <f>IF(       0.865&lt;0.01,"***",IF(       0.865&lt;0.05,"**",IF(       0.865&lt;0.1,"*","NS")))</f>
        <v>NS</v>
      </c>
    </row>
    <row r="24" spans="1:20" ht="15.75" customHeight="1"/>
    <row r="25" spans="1:20" ht="15.75" customHeight="1">
      <c r="A25" s="15" t="s">
        <v>224</v>
      </c>
      <c r="G25" s="15" t="s">
        <v>225</v>
      </c>
      <c r="P25" s="15" t="s">
        <v>226</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66.039783750833934</v>
      </c>
      <c r="C27" s="11">
        <v>62.579637691206933</v>
      </c>
      <c r="D27" s="11">
        <v>-3.4601460596269704</v>
      </c>
      <c r="E27" s="12" t="str">
        <f>IF(       0.113&lt;0.01,"***",IF(       0.113&lt;0.05,"**",IF(       0.113&lt;0.1,"*","NS")))</f>
        <v>NS</v>
      </c>
      <c r="G27" s="15" t="s">
        <v>5</v>
      </c>
      <c r="H27" s="11">
        <v>66.039783750833934</v>
      </c>
      <c r="I27" s="11">
        <v>59.896119557477853</v>
      </c>
      <c r="J27" s="11">
        <v>-6.1436641933560292</v>
      </c>
      <c r="K27" s="12" t="str">
        <f>IF(       0.003&lt;0.01,"***",IF(       0.003&lt;0.05,"**",IF(       0.003&lt;0.1,"*","NS")))</f>
        <v>***</v>
      </c>
      <c r="L27" s="11">
        <v>66.547440187843179</v>
      </c>
      <c r="M27" s="11">
        <v>0.50765643700926222</v>
      </c>
      <c r="N27" s="12" t="str">
        <f>IF(       0.894&lt;0.01,"***",IF(       0.894&lt;0.05,"**",IF(       0.894&lt;0.1,"*","NS")))</f>
        <v>NS</v>
      </c>
      <c r="P27" s="15" t="s">
        <v>5</v>
      </c>
      <c r="Q27" s="11">
        <v>65.484271148089022</v>
      </c>
      <c r="R27" s="11">
        <v>66.547440187843179</v>
      </c>
      <c r="S27" s="11">
        <v>1.0631690397541518</v>
      </c>
      <c r="T27" s="12" t="str">
        <f>IF(       0.779&lt;0.01,"***",IF(       0.779&lt;0.05,"**",IF(       0.779&lt;0.1,"*","NS")))</f>
        <v>NS</v>
      </c>
    </row>
    <row r="28" spans="1:20" ht="15.75" customHeight="1">
      <c r="A28" s="15" t="s">
        <v>6</v>
      </c>
      <c r="B28" s="11">
        <v>52.769292228286247</v>
      </c>
      <c r="C28" s="11">
        <v>46.819816922685</v>
      </c>
      <c r="D28" s="11">
        <v>-5.9494753056011618</v>
      </c>
      <c r="E28" s="12" t="str">
        <f>IF(       0.172&lt;0.01,"***",IF(       0.172&lt;0.05,"**",IF(       0.172&lt;0.1,"*","NS")))</f>
        <v>NS</v>
      </c>
      <c r="G28" s="15" t="s">
        <v>6</v>
      </c>
      <c r="H28" s="11">
        <v>52.769292228286247</v>
      </c>
      <c r="I28" s="11">
        <v>47.473909525337312</v>
      </c>
      <c r="J28" s="11">
        <v>-5.2953827029488165</v>
      </c>
      <c r="K28" s="12" t="str">
        <f>IF(       0.273&lt;0.01,"***",IF(       0.273&lt;0.05,"**",IF(       0.273&lt;0.1,"*","NS")))</f>
        <v>NS</v>
      </c>
      <c r="L28" s="11">
        <v>45.334436728566708</v>
      </c>
      <c r="M28" s="11">
        <v>-7.4348554997197791</v>
      </c>
      <c r="N28" s="12" t="str">
        <f>IF(       0.12&lt;0.01,"***",IF(       0.12&lt;0.05,"**",IF(       0.12&lt;0.1,"*","NS")))</f>
        <v>NS</v>
      </c>
      <c r="P28" s="15" t="s">
        <v>6</v>
      </c>
      <c r="Q28" s="11">
        <v>52.2920505262897</v>
      </c>
      <c r="R28" s="11">
        <v>45.334436728566708</v>
      </c>
      <c r="S28" s="11">
        <v>-6.9576137977227912</v>
      </c>
      <c r="T28" s="12" t="str">
        <f>IF(       0.127&lt;0.01,"***",IF(       0.127&lt;0.05,"**",IF(       0.127&lt;0.1,"*","NS")))</f>
        <v>NS</v>
      </c>
    </row>
    <row r="29" spans="1:20" ht="15.75" customHeight="1">
      <c r="A29" s="15" t="s">
        <v>7</v>
      </c>
      <c r="B29" s="11">
        <v>81.039387668727073</v>
      </c>
      <c r="C29" s="11">
        <v>72.418061803040999</v>
      </c>
      <c r="D29" s="11">
        <v>-8.62132586568611</v>
      </c>
      <c r="E29" s="12" t="str">
        <f>IF(       0.022&lt;0.01,"***",IF(       0.022&lt;0.05,"**",IF(       0.022&lt;0.1,"*","NS")))</f>
        <v>**</v>
      </c>
      <c r="G29" s="15" t="s">
        <v>7</v>
      </c>
      <c r="H29" s="11">
        <v>81.039387668727073</v>
      </c>
      <c r="I29" s="11">
        <v>70.464801432580245</v>
      </c>
      <c r="J29" s="11">
        <v>-10.574586236146592</v>
      </c>
      <c r="K29" s="12" t="str">
        <f>IF(       0.01&lt;0.01,"***",IF(       0.01&lt;0.05,"**",IF(       0.01&lt;0.1,"*","NS")))</f>
        <v>**</v>
      </c>
      <c r="L29" s="11">
        <v>76.078303340838232</v>
      </c>
      <c r="M29" s="11">
        <v>-4.9610843278888508</v>
      </c>
      <c r="N29" s="12" t="str">
        <f>IF(       0.312&lt;0.01,"***",IF(       0.312&lt;0.05,"**",IF(       0.312&lt;0.1,"*","NS")))</f>
        <v>NS</v>
      </c>
      <c r="P29" s="15" t="s">
        <v>7</v>
      </c>
      <c r="Q29" s="11">
        <v>79.863257418732118</v>
      </c>
      <c r="R29" s="11">
        <v>76.078303340838232</v>
      </c>
      <c r="S29" s="11">
        <v>-3.7849540778939006</v>
      </c>
      <c r="T29" s="12" t="str">
        <f>IF(       0.425&lt;0.01,"***",IF(       0.425&lt;0.05,"**",IF(       0.425&lt;0.1,"*","NS")))</f>
        <v>NS</v>
      </c>
    </row>
    <row r="30" spans="1:20" ht="15.75" customHeight="1">
      <c r="A30" s="15" t="s">
        <v>8</v>
      </c>
      <c r="B30" s="11">
        <v>20.50597411049387</v>
      </c>
      <c r="C30" s="11">
        <v>18.740106959033479</v>
      </c>
      <c r="D30" s="11">
        <v>-1.7658671514604554</v>
      </c>
      <c r="E30" s="12" t="str">
        <f>IF(       0.46&lt;0.01,"***",IF(       0.46&lt;0.05,"**",IF(       0.46&lt;0.1,"*","NS")))</f>
        <v>NS</v>
      </c>
      <c r="G30" s="15" t="s">
        <v>8</v>
      </c>
      <c r="H30" s="11">
        <v>20.50597411049387</v>
      </c>
      <c r="I30" s="11">
        <v>18.595098020169669</v>
      </c>
      <c r="J30" s="11">
        <v>-1.9108760903242195</v>
      </c>
      <c r="K30" s="12" t="str">
        <f>IF(       0.476&lt;0.01,"***",IF(       0.476&lt;0.05,"**",IF(       0.476&lt;0.1,"*","NS")))</f>
        <v>NS</v>
      </c>
      <c r="L30" s="11">
        <v>19.089137409186431</v>
      </c>
      <c r="M30" s="11">
        <v>-1.4168367013074201</v>
      </c>
      <c r="N30" s="12" t="str">
        <f>IF(       0.718&lt;0.01,"***",IF(       0.718&lt;0.05,"**",IF(       0.718&lt;0.1,"*","NS")))</f>
        <v>NS</v>
      </c>
      <c r="P30" s="15" t="s">
        <v>8</v>
      </c>
      <c r="Q30" s="11">
        <v>20.329276926102999</v>
      </c>
      <c r="R30" s="11">
        <v>19.089137409186431</v>
      </c>
      <c r="S30" s="11">
        <v>-1.240139516916555</v>
      </c>
      <c r="T30" s="12" t="str">
        <f>IF(       0.749&lt;0.01,"***",IF(       0.749&lt;0.05,"**",IF(       0.749&lt;0.1,"*","NS")))</f>
        <v>NS</v>
      </c>
    </row>
    <row r="31" spans="1:20" ht="15.75" customHeight="1">
      <c r="A31" s="15" t="s">
        <v>10</v>
      </c>
      <c r="B31" s="11">
        <v>55.964681069769348</v>
      </c>
      <c r="C31" s="11">
        <v>53.107021972242578</v>
      </c>
      <c r="D31" s="11">
        <v>-2.8576590975267111</v>
      </c>
      <c r="E31" s="12" t="str">
        <f>IF(       0.083&lt;0.01,"***",IF(       0.083&lt;0.05,"**",IF(       0.083&lt;0.1,"*","NS")))</f>
        <v>*</v>
      </c>
      <c r="G31" s="15" t="s">
        <v>10</v>
      </c>
      <c r="H31" s="11">
        <v>55.964681069769348</v>
      </c>
      <c r="I31" s="11">
        <v>50.789939189068832</v>
      </c>
      <c r="J31" s="11">
        <v>-5.1747418807005792</v>
      </c>
      <c r="K31" s="12" t="str">
        <f>IF(       0.003&lt;0.01,"***",IF(       0.003&lt;0.05,"**",IF(       0.003&lt;0.1,"*","NS")))</f>
        <v>***</v>
      </c>
      <c r="L31" s="11">
        <v>57.316782452610823</v>
      </c>
      <c r="M31" s="11">
        <v>1.3521013828415278</v>
      </c>
      <c r="N31" s="12" t="str">
        <f>IF(       0.603&lt;0.01,"***",IF(       0.603&lt;0.05,"**",IF(       0.603&lt;0.1,"*","NS")))</f>
        <v>NS</v>
      </c>
      <c r="P31" s="15" t="s">
        <v>10</v>
      </c>
      <c r="Q31" s="11">
        <v>55.480199197887742</v>
      </c>
      <c r="R31" s="11">
        <v>57.316782452610823</v>
      </c>
      <c r="S31" s="11">
        <v>1.8365832547233014</v>
      </c>
      <c r="T31" s="12" t="str">
        <f>IF(       0.474&lt;0.01,"***",IF(       0.474&lt;0.05,"**",IF(       0.474&lt;0.1,"*","NS")))</f>
        <v>NS</v>
      </c>
    </row>
    <row r="32" spans="1:20" ht="15.75" customHeight="1"/>
    <row r="33" spans="1:20" ht="15.75" customHeight="1">
      <c r="A33" s="15" t="s">
        <v>227</v>
      </c>
      <c r="G33" s="15" t="s">
        <v>228</v>
      </c>
      <c r="P33" s="15" t="s">
        <v>229</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94.2370062153188</v>
      </c>
      <c r="C35" s="11">
        <v>92.46473014123292</v>
      </c>
      <c r="D35" s="11">
        <v>-1.772276074085779</v>
      </c>
      <c r="E35" s="12" t="str">
        <f>IF(       0.436&lt;0.01,"***",IF(       0.436&lt;0.05,"**",IF(       0.436&lt;0.1,"*","NS")))</f>
        <v>NS</v>
      </c>
      <c r="G35" s="15" t="s">
        <v>5</v>
      </c>
      <c r="H35" s="11">
        <v>94.2370062153188</v>
      </c>
      <c r="I35" s="11">
        <v>90.847644287921682</v>
      </c>
      <c r="J35" s="11">
        <v>-3.3893619273971765</v>
      </c>
      <c r="K35" s="12" t="str">
        <f>IF(       0.266&lt;0.01,"***",IF(       0.266&lt;0.05,"**",IF(       0.266&lt;0.1,"*","NS")))</f>
        <v>NS</v>
      </c>
      <c r="L35" s="11">
        <v>95.139144853922502</v>
      </c>
      <c r="M35" s="11">
        <v>0.90213863860369858</v>
      </c>
      <c r="N35" s="12" t="str">
        <f>IF(       0.627&lt;0.01,"***",IF(       0.627&lt;0.05,"**",IF(       0.627&lt;0.1,"*","NS")))</f>
        <v>NS</v>
      </c>
      <c r="P35" s="15" t="s">
        <v>5</v>
      </c>
      <c r="Q35" s="11">
        <v>93.911421921609033</v>
      </c>
      <c r="R35" s="11">
        <v>95.139144853922502</v>
      </c>
      <c r="S35" s="11">
        <v>1.2277229323134791</v>
      </c>
      <c r="T35" s="12" t="str">
        <f>IF(       0.485&lt;0.01,"***",IF(       0.485&lt;0.05,"**",IF(       0.485&lt;0.1,"*","NS")))</f>
        <v>NS</v>
      </c>
    </row>
    <row r="36" spans="1:20" ht="15.75" customHeight="1">
      <c r="A36" s="15" t="s">
        <v>6</v>
      </c>
      <c r="B36" s="11">
        <v>88.475008495285536</v>
      </c>
      <c r="C36" s="11">
        <v>88.767160500238688</v>
      </c>
      <c r="D36" s="11">
        <v>0.29215200495315619</v>
      </c>
      <c r="E36" s="12" t="str">
        <f>IF(       0.907&lt;0.01,"***",IF(       0.907&lt;0.05,"**",IF(       0.907&lt;0.1,"*","NS")))</f>
        <v>NS</v>
      </c>
      <c r="G36" s="15" t="s">
        <v>6</v>
      </c>
      <c r="H36" s="11">
        <v>88.475008495285536</v>
      </c>
      <c r="I36" s="11">
        <v>88.416898273394722</v>
      </c>
      <c r="J36" s="11">
        <v>-5.8110221890794997E-2</v>
      </c>
      <c r="K36" s="12" t="str">
        <f>IF(       0.98&lt;0.01,"***",IF(       0.98&lt;0.05,"**",IF(       0.98&lt;0.1,"*","NS")))</f>
        <v>NS</v>
      </c>
      <c r="L36" s="11">
        <v>89.947186659879648</v>
      </c>
      <c r="M36" s="11">
        <v>1.4721781645940231</v>
      </c>
      <c r="N36" s="12" t="str">
        <f>IF(       0.792&lt;0.01,"***",IF(       0.792&lt;0.05,"**",IF(       0.792&lt;0.1,"*","NS")))</f>
        <v>NS</v>
      </c>
      <c r="P36" s="15" t="s">
        <v>6</v>
      </c>
      <c r="Q36" s="11">
        <v>88.469022224317072</v>
      </c>
      <c r="R36" s="11">
        <v>89.947186659879648</v>
      </c>
      <c r="S36" s="11">
        <v>1.4781644355624484</v>
      </c>
      <c r="T36" s="12" t="str">
        <f>IF(       0.788&lt;0.01,"***",IF(       0.788&lt;0.05,"**",IF(       0.788&lt;0.1,"*","NS")))</f>
        <v>NS</v>
      </c>
    </row>
    <row r="37" spans="1:20" ht="15.75" customHeight="1">
      <c r="A37" s="15" t="s">
        <v>7</v>
      </c>
      <c r="B37" s="11">
        <v>93.851912704946528</v>
      </c>
      <c r="C37" s="11">
        <v>92.300661862378206</v>
      </c>
      <c r="D37" s="11">
        <v>-1.5512508425683391</v>
      </c>
      <c r="E37" s="12" t="str">
        <f>IF(       0.285&lt;0.01,"***",IF(       0.285&lt;0.05,"**",IF(       0.285&lt;0.1,"*","NS")))</f>
        <v>NS</v>
      </c>
      <c r="G37" s="15" t="s">
        <v>7</v>
      </c>
      <c r="H37" s="11">
        <v>93.851912704946528</v>
      </c>
      <c r="I37" s="11">
        <v>91.960650830676641</v>
      </c>
      <c r="J37" s="11">
        <v>-1.8912618742698941</v>
      </c>
      <c r="K37" s="12" t="str">
        <f>IF(       0.329&lt;0.01,"***",IF(       0.329&lt;0.05,"**",IF(       0.329&lt;0.1,"*","NS")))</f>
        <v>NS</v>
      </c>
      <c r="L37" s="11">
        <v>93.114734323136531</v>
      </c>
      <c r="M37" s="11">
        <v>-0.73717838181002526</v>
      </c>
      <c r="N37" s="12" t="str">
        <f>IF(       0.745&lt;0.01,"***",IF(       0.745&lt;0.05,"**",IF(       0.745&lt;0.1,"*","NS")))</f>
        <v>NS</v>
      </c>
      <c r="P37" s="15" t="s">
        <v>7</v>
      </c>
      <c r="Q37" s="11">
        <v>93.627459399855368</v>
      </c>
      <c r="R37" s="11">
        <v>93.114734323136531</v>
      </c>
      <c r="S37" s="11">
        <v>-0.51272507671888445</v>
      </c>
      <c r="T37" s="12" t="str">
        <f>IF(       0.824&lt;0.01,"***",IF(       0.824&lt;0.05,"**",IF(       0.824&lt;0.1,"*","NS")))</f>
        <v>NS</v>
      </c>
    </row>
    <row r="38" spans="1:20" ht="15.75" customHeight="1">
      <c r="A38" s="15" t="s">
        <v>8</v>
      </c>
      <c r="B38" s="11">
        <v>58.95660295906044</v>
      </c>
      <c r="C38" s="11">
        <v>62.631064571213123</v>
      </c>
      <c r="D38" s="11">
        <v>3.6744616121526179</v>
      </c>
      <c r="E38" s="12" t="str">
        <f>IF(       0.291&lt;0.01,"***",IF(       0.291&lt;0.05,"**",IF(       0.291&lt;0.1,"*","NS")))</f>
        <v>NS</v>
      </c>
      <c r="G38" s="15" t="s">
        <v>8</v>
      </c>
      <c r="H38" s="11">
        <v>58.95660295906044</v>
      </c>
      <c r="I38" s="11">
        <v>63.525603874359412</v>
      </c>
      <c r="J38" s="11">
        <v>4.5690009152990108</v>
      </c>
      <c r="K38" s="12" t="str">
        <f>IF(       0.248&lt;0.01,"***",IF(       0.248&lt;0.05,"**",IF(       0.248&lt;0.1,"*","NS")))</f>
        <v>NS</v>
      </c>
      <c r="L38" s="11">
        <v>60.553194189444831</v>
      </c>
      <c r="M38" s="11">
        <v>1.5965912303843892</v>
      </c>
      <c r="N38" s="12" t="str">
        <f>IF(       0.801&lt;0.01,"***",IF(       0.801&lt;0.05,"**",IF(       0.801&lt;0.1,"*","NS")))</f>
        <v>NS</v>
      </c>
      <c r="P38" s="15" t="s">
        <v>8</v>
      </c>
      <c r="Q38" s="11">
        <v>59.354739152399269</v>
      </c>
      <c r="R38" s="11">
        <v>60.553194189444831</v>
      </c>
      <c r="S38" s="11">
        <v>1.1984550370455611</v>
      </c>
      <c r="T38" s="12" t="str">
        <f>IF(       0.85&lt;0.01,"***",IF(       0.85&lt;0.05,"**",IF(       0.85&lt;0.1,"*","NS")))</f>
        <v>NS</v>
      </c>
    </row>
    <row r="39" spans="1:20" ht="15.75" customHeight="1">
      <c r="A39" s="15" t="s">
        <v>10</v>
      </c>
      <c r="B39" s="11">
        <v>89.863388431512547</v>
      </c>
      <c r="C39" s="11">
        <v>89.754552657815694</v>
      </c>
      <c r="D39" s="11">
        <v>-0.10883577369685038</v>
      </c>
      <c r="E39" s="12" t="str">
        <f>IF(       0.928&lt;0.01,"***",IF(       0.928&lt;0.05,"**",IF(       0.928&lt;0.1,"*","NS")))</f>
        <v>NS</v>
      </c>
      <c r="G39" s="15" t="s">
        <v>10</v>
      </c>
      <c r="H39" s="11">
        <v>89.863388431512547</v>
      </c>
      <c r="I39" s="11">
        <v>89.348045634601547</v>
      </c>
      <c r="J39" s="11">
        <v>-0.51534279691095197</v>
      </c>
      <c r="K39" s="12" t="str">
        <f>IF(       0.743&lt;0.01,"***",IF(       0.743&lt;0.05,"**",IF(       0.743&lt;0.1,"*","NS")))</f>
        <v>NS</v>
      </c>
      <c r="L39" s="11">
        <v>90.70911587552385</v>
      </c>
      <c r="M39" s="11">
        <v>0.8457274440113135</v>
      </c>
      <c r="N39" s="12" t="str">
        <f>IF(       0.629&lt;0.01,"***",IF(       0.629&lt;0.05,"**",IF(       0.629&lt;0.1,"*","NS")))</f>
        <v>NS</v>
      </c>
      <c r="P39" s="15" t="s">
        <v>10</v>
      </c>
      <c r="Q39" s="11">
        <v>89.806056293654095</v>
      </c>
      <c r="R39" s="11">
        <v>90.70911587552385</v>
      </c>
      <c r="S39" s="11">
        <v>0.90305958186974866</v>
      </c>
      <c r="T39" s="12" t="str">
        <f>IF(       0.609&lt;0.01,"***",IF(       0.609&lt;0.05,"**",IF(       0.609&lt;0.1,"*","NS")))</f>
        <v>NS</v>
      </c>
    </row>
    <row r="40" spans="1:20" ht="15.75" customHeight="1"/>
    <row r="41" spans="1:20" ht="15.75" customHeight="1">
      <c r="A41" s="15" t="s">
        <v>230</v>
      </c>
      <c r="G41" s="15" t="s">
        <v>231</v>
      </c>
      <c r="P41" s="15" t="s">
        <v>232</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72.300817020236394</v>
      </c>
      <c r="C43" s="11">
        <v>64.861660058036009</v>
      </c>
      <c r="D43" s="11">
        <v>-7.4391569622004345</v>
      </c>
      <c r="E43" s="12" t="str">
        <f>IF(       0.1&lt;0.01,"***",IF(       0.1&lt;0.05,"**",IF(       0.1&lt;0.1,"*","NS")))</f>
        <v>NS</v>
      </c>
      <c r="G43" s="15" t="s">
        <v>5</v>
      </c>
      <c r="H43" s="11">
        <v>72.300817020236394</v>
      </c>
      <c r="I43" s="11">
        <v>66.312457405687141</v>
      </c>
      <c r="J43" s="11">
        <v>-5.9883596145492772</v>
      </c>
      <c r="K43" s="12" t="str">
        <f>IF(       0.126&lt;0.01,"***",IF(       0.126&lt;0.05,"**",IF(       0.126&lt;0.1,"*","NS")))</f>
        <v>NS</v>
      </c>
      <c r="L43" s="11">
        <v>62.666277620065323</v>
      </c>
      <c r="M43" s="11">
        <v>-9.6345394001711959</v>
      </c>
      <c r="N43" s="12" t="str">
        <f>IF(       0.064&lt;0.01,"***",IF(       0.064&lt;0.05,"**",IF(       0.064&lt;0.1,"*","NS")))</f>
        <v>*</v>
      </c>
      <c r="P43" s="15" t="s">
        <v>5</v>
      </c>
      <c r="Q43" s="11">
        <v>72.095243294294818</v>
      </c>
      <c r="R43" s="11">
        <v>62.666277620065323</v>
      </c>
      <c r="S43" s="11">
        <v>-9.428965674229504</v>
      </c>
      <c r="T43" s="12" t="str">
        <f>IF(       0.211&lt;0.01,"***",IF(       0.211&lt;0.05,"**",IF(       0.211&lt;0.1,"*","NS")))</f>
        <v>NS</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91.313124619279009</v>
      </c>
      <c r="C45" s="11">
        <v>89.302941184837195</v>
      </c>
      <c r="D45" s="11">
        <v>-2.0101834344418328</v>
      </c>
      <c r="E45" s="12" t="str">
        <f>IF(       0.368&lt;0.01,"***",IF(       0.368&lt;0.05,"**",IF(       0.368&lt;0.1,"*","NS")))</f>
        <v>NS</v>
      </c>
      <c r="G45" s="15" t="s">
        <v>7</v>
      </c>
      <c r="H45" s="11">
        <v>91.313124619279009</v>
      </c>
      <c r="I45" s="11">
        <v>89.197232928835021</v>
      </c>
      <c r="J45" s="11">
        <v>-2.1158916904440601</v>
      </c>
      <c r="K45" s="12" t="str">
        <f>IF(       0.43&lt;0.01,"***",IF(       0.43&lt;0.05,"**",IF(       0.43&lt;0.1,"*","NS")))</f>
        <v>NS</v>
      </c>
      <c r="L45" s="11">
        <v>89.692541079930891</v>
      </c>
      <c r="M45" s="11">
        <v>-1.620583539348091</v>
      </c>
      <c r="N45" s="12" t="str">
        <f>IF(       0.007&lt;0.01,"***",IF(       0.007&lt;0.05,"**",IF(       0.007&lt;0.1,"*","NS")))</f>
        <v>***</v>
      </c>
      <c r="P45" s="15" t="s">
        <v>7</v>
      </c>
      <c r="Q45" s="11">
        <v>91.168980526705766</v>
      </c>
      <c r="R45" s="11">
        <v>89.692541079930891</v>
      </c>
      <c r="S45" s="11">
        <v>-1.4764394467748694</v>
      </c>
      <c r="T45" s="12" t="str">
        <f>IF(       0.691&lt;0.01,"***",IF(       0.691&lt;0.05,"**",IF(       0.691&lt;0.1,"*","NS")))</f>
        <v>NS</v>
      </c>
    </row>
    <row r="46" spans="1:20" ht="15.75" customHeight="1">
      <c r="A46" s="15" t="s">
        <v>8</v>
      </c>
      <c r="B46" s="11">
        <v>33.252353507658412</v>
      </c>
      <c r="C46" s="11">
        <v>32.270719372497943</v>
      </c>
      <c r="D46" s="11">
        <v>-0.98163413516050946</v>
      </c>
      <c r="E46" s="12" t="str">
        <f>IF(       0.759&lt;0.01,"***",IF(       0.759&lt;0.05,"**",IF(       0.759&lt;0.1,"*","NS")))</f>
        <v>NS</v>
      </c>
      <c r="G46" s="15" t="s">
        <v>8</v>
      </c>
      <c r="H46" s="11">
        <v>33.252353507658412</v>
      </c>
      <c r="I46" s="11">
        <v>31.408492007720969</v>
      </c>
      <c r="J46" s="11">
        <v>-1.8438614999374807</v>
      </c>
      <c r="K46" s="12" t="str">
        <f>IF(       0.63&lt;0.01,"***",IF(       0.63&lt;0.05,"**",IF(       0.63&lt;0.1,"*","NS")))</f>
        <v>NS</v>
      </c>
      <c r="L46" s="11">
        <v>35.355187433498102</v>
      </c>
      <c r="M46" s="11">
        <v>2.1028339258397195</v>
      </c>
      <c r="N46" s="12" t="str">
        <f>IF(       0.661&lt;0.01,"***",IF(       0.661&lt;0.05,"**",IF(       0.661&lt;0.1,"*","NS")))</f>
        <v>NS</v>
      </c>
      <c r="P46" s="15" t="s">
        <v>8</v>
      </c>
      <c r="Q46" s="11">
        <v>33.166303014846349</v>
      </c>
      <c r="R46" s="11">
        <v>35.355187433498102</v>
      </c>
      <c r="S46" s="11">
        <v>2.1888844186517038</v>
      </c>
      <c r="T46" s="12" t="str">
        <f>IF(       0.731&lt;0.01,"***",IF(       0.731&lt;0.05,"**",IF(       0.731&lt;0.1,"*","NS")))</f>
        <v>NS</v>
      </c>
    </row>
    <row r="47" spans="1:20" ht="15.75" customHeight="1">
      <c r="A47" s="15" t="s">
        <v>10</v>
      </c>
      <c r="B47" s="11">
        <v>72.780095486349907</v>
      </c>
      <c r="C47" s="11">
        <v>73.035739010164619</v>
      </c>
      <c r="D47" s="11">
        <v>0.25564352381475697</v>
      </c>
      <c r="E47" s="12" t="str">
        <f>IF(       0.907&lt;0.01,"***",IF(       0.907&lt;0.05,"**",IF(       0.907&lt;0.1,"*","NS")))</f>
        <v>NS</v>
      </c>
      <c r="G47" s="15" t="s">
        <v>10</v>
      </c>
      <c r="H47" s="11">
        <v>72.780095486349907</v>
      </c>
      <c r="I47" s="11">
        <v>74.564183842875352</v>
      </c>
      <c r="J47" s="11">
        <v>1.7840883565255048</v>
      </c>
      <c r="K47" s="12" t="str">
        <f>IF(       0.442&lt;0.01,"***",IF(       0.442&lt;0.05,"**",IF(       0.442&lt;0.1,"*","NS")))</f>
        <v>NS</v>
      </c>
      <c r="L47" s="11">
        <v>68.761652709837747</v>
      </c>
      <c r="M47" s="11">
        <v>-4.0184427765124253</v>
      </c>
      <c r="N47" s="12" t="str">
        <f>IF(       0.276&lt;0.01,"***",IF(       0.276&lt;0.05,"**",IF(       0.276&lt;0.1,"*","NS")))</f>
        <v>NS</v>
      </c>
      <c r="P47" s="15" t="s">
        <v>10</v>
      </c>
      <c r="Q47" s="11">
        <v>72.870280941092716</v>
      </c>
      <c r="R47" s="11">
        <v>68.761652709837747</v>
      </c>
      <c r="S47" s="11">
        <v>-4.1086282312549471</v>
      </c>
      <c r="T47" s="12" t="str">
        <f>IF(       0.261&lt;0.01,"***",IF(       0.261&lt;0.05,"**",IF(       0.261&lt;0.1,"*","NS")))</f>
        <v>NS</v>
      </c>
    </row>
    <row r="48" spans="1:20" ht="15.75" customHeight="1"/>
    <row r="49" spans="1:20" ht="15.75" customHeight="1">
      <c r="A49" s="15" t="s">
        <v>233</v>
      </c>
      <c r="G49" s="15" t="s">
        <v>234</v>
      </c>
      <c r="P49" s="15" t="s">
        <v>235</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69.628783469904036</v>
      </c>
      <c r="C51" s="11">
        <v>70.156706012310721</v>
      </c>
      <c r="D51" s="11">
        <v>0.52792254240670389</v>
      </c>
      <c r="E51" s="12" t="str">
        <f>IF(       0.867&lt;0.01,"***",IF(       0.867&lt;0.05,"**",IF(       0.867&lt;0.1,"*","NS")))</f>
        <v>NS</v>
      </c>
      <c r="G51" s="15" t="s">
        <v>5</v>
      </c>
      <c r="H51" s="11">
        <v>69.628783469904036</v>
      </c>
      <c r="I51" s="11">
        <v>66.515529965429167</v>
      </c>
      <c r="J51" s="11">
        <v>-3.113253504474943</v>
      </c>
      <c r="K51" s="12" t="str">
        <f>IF(       0.314&lt;0.01,"***",IF(       0.314&lt;0.05,"**",IF(       0.314&lt;0.1,"*","NS")))</f>
        <v>NS</v>
      </c>
      <c r="L51" s="11">
        <v>75.66335907712444</v>
      </c>
      <c r="M51" s="11">
        <v>6.0345756072204804</v>
      </c>
      <c r="N51" s="12" t="str">
        <f>IF(       0.148&lt;0.01,"***",IF(       0.148&lt;0.05,"**",IF(       0.148&lt;0.1,"*","NS")))</f>
        <v>NS</v>
      </c>
      <c r="P51" s="15" t="s">
        <v>5</v>
      </c>
      <c r="Q51" s="11">
        <v>68.854434845794998</v>
      </c>
      <c r="R51" s="11">
        <v>75.66335907712444</v>
      </c>
      <c r="S51" s="11">
        <v>6.8089242313294136</v>
      </c>
      <c r="T51" s="12" t="str">
        <f>IF(       0.075&lt;0.01,"***",IF(       0.075&lt;0.05,"**",IF(       0.075&lt;0.1,"*","NS")))</f>
        <v>*</v>
      </c>
    </row>
    <row r="52" spans="1:20" ht="15.75" customHeight="1">
      <c r="A52" s="15" t="s">
        <v>6</v>
      </c>
      <c r="B52" s="11">
        <v>61.376237144230707</v>
      </c>
      <c r="C52" s="11">
        <v>58.306716092877437</v>
      </c>
      <c r="D52" s="11">
        <v>-3.0695210513532603</v>
      </c>
      <c r="E52" s="12" t="str">
        <f>IF(       0.38&lt;0.01,"***",IF(       0.38&lt;0.05,"**",IF(       0.38&lt;0.1,"*","NS")))</f>
        <v>NS</v>
      </c>
      <c r="G52" s="15" t="s">
        <v>6</v>
      </c>
      <c r="H52" s="11">
        <v>61.376237144230707</v>
      </c>
      <c r="I52" s="11">
        <v>57.307527022238347</v>
      </c>
      <c r="J52" s="11">
        <v>-4.0687101219923116</v>
      </c>
      <c r="K52" s="12" t="str">
        <f>IF(       0.262&lt;0.01,"***",IF(       0.262&lt;0.05,"**",IF(       0.262&lt;0.1,"*","NS")))</f>
        <v>NS</v>
      </c>
      <c r="L52" s="11">
        <v>60.721709691558871</v>
      </c>
      <c r="M52" s="11">
        <v>-0.65452745267183476</v>
      </c>
      <c r="N52" s="12" t="str">
        <f>IF(       0.892&lt;0.01,"***",IF(       0.892&lt;0.05,"**",IF(       0.892&lt;0.1,"*","NS")))</f>
        <v>NS</v>
      </c>
      <c r="P52" s="15" t="s">
        <v>6</v>
      </c>
      <c r="Q52" s="11">
        <v>60.423711399661769</v>
      </c>
      <c r="R52" s="11">
        <v>60.721709691558871</v>
      </c>
      <c r="S52" s="11">
        <v>0.29799829189710286</v>
      </c>
      <c r="T52" s="12" t="str">
        <f>IF(       0.947&lt;0.01,"***",IF(       0.947&lt;0.05,"**",IF(       0.947&lt;0.1,"*","NS")))</f>
        <v>NS</v>
      </c>
    </row>
    <row r="53" spans="1:20" ht="15.75" customHeight="1">
      <c r="A53" s="15" t="s">
        <v>7</v>
      </c>
      <c r="B53" s="11">
        <v>92.28628821364363</v>
      </c>
      <c r="C53" s="11">
        <v>88.30912722847323</v>
      </c>
      <c r="D53" s="11">
        <v>-3.9771609851704701</v>
      </c>
      <c r="E53" s="12" t="str">
        <f>IF(       0.036&lt;0.01,"***",IF(       0.036&lt;0.05,"**",IF(       0.036&lt;0.1,"*","NS")))</f>
        <v>**</v>
      </c>
      <c r="G53" s="15" t="s">
        <v>7</v>
      </c>
      <c r="H53" s="11">
        <v>92.28628821364363</v>
      </c>
      <c r="I53" s="11">
        <v>87.625400630864078</v>
      </c>
      <c r="J53" s="11">
        <v>-4.6608875827795071</v>
      </c>
      <c r="K53" s="12" t="str">
        <f>IF(       0.063&lt;0.01,"***",IF(       0.063&lt;0.05,"**",IF(       0.063&lt;0.1,"*","NS")))</f>
        <v>*</v>
      </c>
      <c r="L53" s="11">
        <v>89.52789310643675</v>
      </c>
      <c r="M53" s="11">
        <v>-2.7583951072068782</v>
      </c>
      <c r="N53" s="12" t="str">
        <f>IF(       0.225&lt;0.01,"***",IF(       0.225&lt;0.05,"**",IF(       0.225&lt;0.1,"*","NS")))</f>
        <v>NS</v>
      </c>
      <c r="P53" s="15" t="s">
        <v>7</v>
      </c>
      <c r="Q53" s="11">
        <v>91.104207365531323</v>
      </c>
      <c r="R53" s="11">
        <v>89.52789310643675</v>
      </c>
      <c r="S53" s="11">
        <v>-1.5763142590945542</v>
      </c>
      <c r="T53" s="12" t="str">
        <f>IF(       0.488&lt;0.01,"***",IF(       0.488&lt;0.05,"**",IF(       0.488&lt;0.1,"*","NS")))</f>
        <v>NS</v>
      </c>
    </row>
    <row r="54" spans="1:20" ht="15.75" customHeight="1">
      <c r="A54" s="15" t="s">
        <v>8</v>
      </c>
      <c r="B54" s="11">
        <v>30.196295581077521</v>
      </c>
      <c r="C54" s="11">
        <v>31.65567609806358</v>
      </c>
      <c r="D54" s="11">
        <v>1.4593805169860825</v>
      </c>
      <c r="E54" s="12" t="str">
        <f>IF(       0.592&lt;0.01,"***",IF(       0.592&lt;0.05,"**",IF(       0.592&lt;0.1,"*","NS")))</f>
        <v>NS</v>
      </c>
      <c r="G54" s="15" t="s">
        <v>8</v>
      </c>
      <c r="H54" s="11">
        <v>30.196295581077521</v>
      </c>
      <c r="I54" s="11">
        <v>32.209780422353511</v>
      </c>
      <c r="J54" s="11">
        <v>2.0134848412759783</v>
      </c>
      <c r="K54" s="12" t="str">
        <f>IF(       0.549&lt;0.01,"***",IF(       0.549&lt;0.05,"**",IF(       0.549&lt;0.1,"*","NS")))</f>
        <v>NS</v>
      </c>
      <c r="L54" s="11">
        <v>30.54490648881232</v>
      </c>
      <c r="M54" s="11">
        <v>0.34861090773479597</v>
      </c>
      <c r="N54" s="12" t="str">
        <f>IF(       0.925&lt;0.01,"***",IF(       0.925&lt;0.05,"**",IF(       0.925&lt;0.1,"*","NS")))</f>
        <v>NS</v>
      </c>
      <c r="P54" s="15" t="s">
        <v>8</v>
      </c>
      <c r="Q54" s="11">
        <v>30.586932688127689</v>
      </c>
      <c r="R54" s="11">
        <v>30.54490648881232</v>
      </c>
      <c r="S54" s="11">
        <v>-4.2026199315371951E-2</v>
      </c>
      <c r="T54" s="12" t="str">
        <f>IF(       0.991&lt;0.01,"***",IF(       0.991&lt;0.05,"**",IF(       0.991&lt;0.1,"*","NS")))</f>
        <v>NS</v>
      </c>
    </row>
    <row r="55" spans="1:20" ht="15.75" customHeight="1">
      <c r="A55" s="15" t="s">
        <v>10</v>
      </c>
      <c r="B55" s="11">
        <v>69.890993720311954</v>
      </c>
      <c r="C55" s="11">
        <v>70.82899025578844</v>
      </c>
      <c r="D55" s="11">
        <v>0.93799653547647355</v>
      </c>
      <c r="E55" s="12" t="str">
        <f>IF(       0.563&lt;0.01,"***",IF(       0.563&lt;0.05,"**",IF(       0.563&lt;0.1,"*","NS")))</f>
        <v>NS</v>
      </c>
      <c r="G55" s="15" t="s">
        <v>10</v>
      </c>
      <c r="H55" s="11">
        <v>69.890993720311954</v>
      </c>
      <c r="I55" s="11">
        <v>69.006810915067959</v>
      </c>
      <c r="J55" s="11">
        <v>-0.88418280524399595</v>
      </c>
      <c r="K55" s="12" t="str">
        <f>IF(       0.64&lt;0.01,"***",IF(       0.64&lt;0.05,"**",IF(       0.64&lt;0.1,"*","NS")))</f>
        <v>NS</v>
      </c>
      <c r="L55" s="11">
        <v>74.101992005008952</v>
      </c>
      <c r="M55" s="11">
        <v>4.2109982846970757</v>
      </c>
      <c r="N55" s="12" t="str">
        <f>IF(       0.064&lt;0.01,"***",IF(       0.064&lt;0.05,"**",IF(       0.064&lt;0.1,"*","NS")))</f>
        <v>*</v>
      </c>
      <c r="P55" s="15" t="s">
        <v>10</v>
      </c>
      <c r="Q55" s="11">
        <v>69.679588680908282</v>
      </c>
      <c r="R55" s="11">
        <v>74.101992005008952</v>
      </c>
      <c r="S55" s="11">
        <v>4.4224033241008698</v>
      </c>
      <c r="T55" s="12" t="str">
        <f>IF(       0.045&lt;0.01,"***",IF(       0.045&lt;0.05,"**",IF(       0.045&lt;0.1,"*","NS")))</f>
        <v>**</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236</v>
      </c>
      <c r="G1" s="15" t="s">
        <v>237</v>
      </c>
      <c r="P1" s="15" t="s">
        <v>238</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32.714969407729313</v>
      </c>
      <c r="C3" s="11">
        <v>31.48632969734534</v>
      </c>
      <c r="D3" s="11">
        <v>-1.2286397103839912</v>
      </c>
      <c r="E3" s="12" t="str">
        <f>IF(       0.072&lt;0.01,"***",IF(       0.072&lt;0.05,"**",IF(       0.072&lt;0.1,"*","NS")))</f>
        <v>*</v>
      </c>
      <c r="G3" s="15" t="s">
        <v>5</v>
      </c>
      <c r="H3" s="11">
        <v>32.714969407729313</v>
      </c>
      <c r="I3" s="11">
        <v>31.414673681055142</v>
      </c>
      <c r="J3" s="11">
        <v>-1.3002957266741872</v>
      </c>
      <c r="K3" s="12" t="str">
        <f>IF(       0.043&lt;0.01,"***",IF(       0.043&lt;0.05,"**",IF(       0.043&lt;0.1,"*","NS")))</f>
        <v>**</v>
      </c>
      <c r="L3" s="11">
        <v>31.594714758546321</v>
      </c>
      <c r="M3" s="11">
        <v>-1.1202546491830774</v>
      </c>
      <c r="N3" s="12" t="str">
        <f>IF(       0.305&lt;0.01,"***",IF(       0.305&lt;0.05,"**",IF(       0.305&lt;0.1,"*","NS")))</f>
        <v>NS</v>
      </c>
      <c r="P3" s="15" t="s">
        <v>5</v>
      </c>
      <c r="Q3" s="11">
        <v>32.595913753570102</v>
      </c>
      <c r="R3" s="11">
        <v>31.594714758546321</v>
      </c>
      <c r="S3" s="11">
        <v>-1.0011989950237485</v>
      </c>
      <c r="T3" s="12" t="str">
        <f>IF(       0.35&lt;0.01,"***",IF(       0.35&lt;0.05,"**",IF(       0.35&lt;0.1,"*","NS")))</f>
        <v>NS</v>
      </c>
    </row>
    <row r="4" spans="1:20">
      <c r="A4" s="15" t="s">
        <v>6</v>
      </c>
      <c r="B4" s="11">
        <v>32.590258689720727</v>
      </c>
      <c r="C4" s="11">
        <v>32.576576174499948</v>
      </c>
      <c r="D4" s="11">
        <v>-1.3682515220765277E-2</v>
      </c>
      <c r="E4" s="12" t="str">
        <f>IF(       0.991&lt;0.01,"***",IF(       0.991&lt;0.05,"**",IF(       0.991&lt;0.1,"*","NS")))</f>
        <v>NS</v>
      </c>
      <c r="G4" s="15" t="s">
        <v>6</v>
      </c>
      <c r="H4" s="11">
        <v>32.590258689720727</v>
      </c>
      <c r="I4" s="11">
        <v>32.60591172533794</v>
      </c>
      <c r="J4" s="11">
        <v>1.5653035617232577E-2</v>
      </c>
      <c r="K4" s="12" t="str">
        <f>IF(       0.991&lt;0.01,"***",IF(       0.991&lt;0.05,"**",IF(       0.991&lt;0.1,"*","NS")))</f>
        <v>NS</v>
      </c>
      <c r="L4" s="11">
        <v>32.501746839594453</v>
      </c>
      <c r="M4" s="11">
        <v>-8.8511850126241007E-2</v>
      </c>
      <c r="N4" s="12" t="str">
        <f>IF(       0.957&lt;0.01,"***",IF(       0.957&lt;0.05,"**",IF(       0.957&lt;0.1,"*","NS")))</f>
        <v>NS</v>
      </c>
      <c r="P4" s="15" t="s">
        <v>6</v>
      </c>
      <c r="Q4" s="11">
        <v>32.591731455245473</v>
      </c>
      <c r="R4" s="11">
        <v>32.501746839594453</v>
      </c>
      <c r="S4" s="11">
        <v>-8.9984615651019034E-2</v>
      </c>
      <c r="T4" s="12" t="str">
        <f>IF(       0.956&lt;0.01,"***",IF(       0.956&lt;0.05,"**",IF(       0.956&lt;0.1,"*","NS")))</f>
        <v>NS</v>
      </c>
    </row>
    <row r="5" spans="1:20">
      <c r="A5" s="15" t="s">
        <v>7</v>
      </c>
      <c r="B5" s="11">
        <v>43.900711289760828</v>
      </c>
      <c r="C5" s="11">
        <v>44.065563544327958</v>
      </c>
      <c r="D5" s="11">
        <v>0.1648522545671357</v>
      </c>
      <c r="E5" s="12" t="str">
        <f>IF(       0.839&lt;0.01,"***",IF(       0.839&lt;0.05,"**",IF(       0.839&lt;0.1,"*","NS")))</f>
        <v>NS</v>
      </c>
      <c r="G5" s="15" t="s">
        <v>7</v>
      </c>
      <c r="H5" s="11">
        <v>43.900711289760828</v>
      </c>
      <c r="I5" s="11">
        <v>45.167691101529243</v>
      </c>
      <c r="J5" s="11">
        <v>1.2669798117684428</v>
      </c>
      <c r="K5" s="12" t="str">
        <f>IF(       0.196&lt;0.01,"***",IF(       0.196&lt;0.05,"**",IF(       0.196&lt;0.1,"*","NS")))</f>
        <v>NS</v>
      </c>
      <c r="L5" s="11">
        <v>41.546065132784797</v>
      </c>
      <c r="M5" s="11">
        <v>-2.3546461569760129</v>
      </c>
      <c r="N5" s="12" t="str">
        <f>IF(       0.115&lt;0.01,"***",IF(       0.115&lt;0.05,"**",IF(       0.115&lt;0.1,"*","NS")))</f>
        <v>NS</v>
      </c>
      <c r="P5" s="15" t="s">
        <v>7</v>
      </c>
      <c r="Q5" s="11">
        <v>44.049376077748079</v>
      </c>
      <c r="R5" s="11">
        <v>41.546065132784797</v>
      </c>
      <c r="S5" s="11">
        <v>-2.5033109449632152</v>
      </c>
      <c r="T5" s="12" t="str">
        <f>IF(       0.096&lt;0.01,"***",IF(       0.096&lt;0.05,"**",IF(       0.096&lt;0.1,"*","NS")))</f>
        <v>*</v>
      </c>
    </row>
    <row r="6" spans="1:20">
      <c r="A6" s="15" t="s">
        <v>8</v>
      </c>
      <c r="B6" s="11">
        <v>35.355520134779042</v>
      </c>
      <c r="C6" s="11">
        <v>34.217746037119383</v>
      </c>
      <c r="D6" s="11">
        <v>-1.1377740976596178</v>
      </c>
      <c r="E6" s="12" t="str">
        <f>IF(       0.236&lt;0.01,"***",IF(       0.236&lt;0.05,"**",IF(       0.236&lt;0.1,"*","NS")))</f>
        <v>NS</v>
      </c>
      <c r="G6" s="15" t="s">
        <v>8</v>
      </c>
      <c r="H6" s="11">
        <v>35.355520134779042</v>
      </c>
      <c r="I6" s="11">
        <v>35.23814229281809</v>
      </c>
      <c r="J6" s="11">
        <v>-0.11737784196096157</v>
      </c>
      <c r="K6" s="12" t="str">
        <f>IF(       0.908&lt;0.01,"***",IF(       0.908&lt;0.05,"**",IF(       0.908&lt;0.1,"*","NS")))</f>
        <v>NS</v>
      </c>
      <c r="L6" s="11">
        <v>31.787795188949211</v>
      </c>
      <c r="M6" s="11">
        <v>-3.5677249458298035</v>
      </c>
      <c r="N6" s="12" t="str">
        <f>IF(       0.015&lt;0.01,"***",IF(       0.015&lt;0.05,"**",IF(       0.015&lt;0.1,"*","NS")))</f>
        <v>**</v>
      </c>
      <c r="P6" s="15" t="s">
        <v>8</v>
      </c>
      <c r="Q6" s="11">
        <v>35.344859724019258</v>
      </c>
      <c r="R6" s="11">
        <v>31.787795188949211</v>
      </c>
      <c r="S6" s="11">
        <v>-3.5570645350700505</v>
      </c>
      <c r="T6" s="12" t="str">
        <f>IF(       0.014&lt;0.01,"***",IF(       0.014&lt;0.05,"**",IF(       0.014&lt;0.1,"*","NS")))</f>
        <v>**</v>
      </c>
    </row>
    <row r="7" spans="1:20">
      <c r="A7" s="15" t="s">
        <v>10</v>
      </c>
      <c r="B7" s="11">
        <v>37.457989093822327</v>
      </c>
      <c r="C7" s="11">
        <v>37.545876772821799</v>
      </c>
      <c r="D7" s="11">
        <v>8.788767899946627E-2</v>
      </c>
      <c r="E7" s="12" t="str">
        <f>IF(       0.869&lt;0.01,"***",IF(       0.869&lt;0.05,"**",IF(       0.869&lt;0.1,"*","NS")))</f>
        <v>NS</v>
      </c>
      <c r="G7" s="15" t="s">
        <v>10</v>
      </c>
      <c r="H7" s="11">
        <v>37.457989093822327</v>
      </c>
      <c r="I7" s="11">
        <v>38.381494411482286</v>
      </c>
      <c r="J7" s="11">
        <v>0.9235053176599024</v>
      </c>
      <c r="K7" s="12" t="str">
        <f>IF(       0.156&lt;0.01,"***",IF(       0.156&lt;0.05,"**",IF(       0.156&lt;0.1,"*","NS")))</f>
        <v>NS</v>
      </c>
      <c r="L7" s="11">
        <v>35.82332975321966</v>
      </c>
      <c r="M7" s="11">
        <v>-1.6346593406026741</v>
      </c>
      <c r="N7" s="12" t="str">
        <f>IF(       0.06&lt;0.01,"***",IF(       0.06&lt;0.05,"**",IF(       0.06&lt;0.1,"*","NS")))</f>
        <v>*</v>
      </c>
      <c r="P7" s="15" t="s">
        <v>10</v>
      </c>
      <c r="Q7" s="11">
        <v>37.552284582351277</v>
      </c>
      <c r="R7" s="11">
        <v>35.82332975321966</v>
      </c>
      <c r="S7" s="11">
        <v>-1.7289548291315313</v>
      </c>
      <c r="T7" s="12" t="str">
        <f>IF(       0.047&lt;0.01,"***",IF(       0.047&lt;0.05,"**",IF(       0.047&lt;0.1,"*","NS")))</f>
        <v>**</v>
      </c>
    </row>
    <row r="9" spans="1:20">
      <c r="A9" s="15" t="s">
        <v>239</v>
      </c>
      <c r="G9" s="15" t="s">
        <v>240</v>
      </c>
      <c r="P9" s="15" t="s">
        <v>241</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32.86996058905406</v>
      </c>
      <c r="C11" s="11">
        <v>32.382760631834387</v>
      </c>
      <c r="D11" s="11">
        <v>-0.48719995721968518</v>
      </c>
      <c r="E11" s="12" t="str">
        <f>IF(       0.547&lt;0.01,"***",IF(       0.547&lt;0.05,"**",IF(       0.547&lt;0.1,"*","NS")))</f>
        <v>NS</v>
      </c>
      <c r="G11" s="15" t="s">
        <v>5</v>
      </c>
      <c r="H11" s="11">
        <v>32.86996058905406</v>
      </c>
      <c r="I11" s="11">
        <v>32.855668106588681</v>
      </c>
      <c r="J11" s="11">
        <v>-1.4292482465379905E-2</v>
      </c>
      <c r="K11" s="12" t="str">
        <f>IF(       0.987&lt;0.01,"***",IF(       0.987&lt;0.05,"**",IF(       0.987&lt;0.1,"*","NS")))</f>
        <v>NS</v>
      </c>
      <c r="L11" s="11">
        <v>31.654296934984291</v>
      </c>
      <c r="M11" s="11">
        <v>-1.2156636540697152</v>
      </c>
      <c r="N11" s="12" t="str">
        <f>IF(       0.241&lt;0.01,"***",IF(       0.241&lt;0.05,"**",IF(       0.241&lt;0.1,"*","NS")))</f>
        <v>NS</v>
      </c>
      <c r="P11" s="15" t="s">
        <v>5</v>
      </c>
      <c r="Q11" s="11">
        <v>32.868666684304657</v>
      </c>
      <c r="R11" s="11">
        <v>31.654296934984291</v>
      </c>
      <c r="S11" s="11">
        <v>-1.21436974932038</v>
      </c>
      <c r="T11" s="12" t="str">
        <f>IF(       0.228&lt;0.01,"***",IF(       0.228&lt;0.05,"**",IF(       0.228&lt;0.1,"*","NS")))</f>
        <v>NS</v>
      </c>
    </row>
    <row r="12" spans="1:20">
      <c r="A12" s="15" t="s">
        <v>6</v>
      </c>
      <c r="B12" s="11">
        <v>32.500645730776768</v>
      </c>
      <c r="C12" s="11">
        <v>33.566616215480053</v>
      </c>
      <c r="D12" s="11">
        <v>1.0659704847032829</v>
      </c>
      <c r="E12" s="12" t="str">
        <f>IF(       0.411&lt;0.01,"***",IF(       0.411&lt;0.05,"**",IF(       0.411&lt;0.1,"*","NS")))</f>
        <v>NS</v>
      </c>
      <c r="G12" s="15" t="s">
        <v>6</v>
      </c>
      <c r="H12" s="11">
        <v>32.500645730776768</v>
      </c>
      <c r="I12" s="11">
        <v>33.673760726468238</v>
      </c>
      <c r="J12" s="11">
        <v>1.1731149956914582</v>
      </c>
      <c r="K12" s="12" t="str">
        <f>IF(       0.448&lt;0.01,"***",IF(       0.448&lt;0.05,"**",IF(       0.448&lt;0.1,"*","NS")))</f>
        <v>NS</v>
      </c>
      <c r="L12" s="11">
        <v>33.273352004226723</v>
      </c>
      <c r="M12" s="11">
        <v>0.77270627344996679</v>
      </c>
      <c r="N12" s="12" t="str">
        <f>IF(       0.682&lt;0.01,"***",IF(       0.682&lt;0.05,"**",IF(       0.682&lt;0.1,"*","NS")))</f>
        <v>NS</v>
      </c>
      <c r="P12" s="15" t="s">
        <v>6</v>
      </c>
      <c r="Q12" s="11">
        <v>32.606865948374477</v>
      </c>
      <c r="R12" s="11">
        <v>33.273352004226723</v>
      </c>
      <c r="S12" s="11">
        <v>0.66648605585225595</v>
      </c>
      <c r="T12" s="12" t="str">
        <f>IF(       0.722&lt;0.01,"***",IF(       0.722&lt;0.05,"**",IF(       0.722&lt;0.1,"*","NS")))</f>
        <v>NS</v>
      </c>
    </row>
    <row r="13" spans="1:20">
      <c r="A13" s="15" t="s">
        <v>7</v>
      </c>
      <c r="B13" s="11">
        <v>43.92400667567874</v>
      </c>
      <c r="C13" s="11">
        <v>43.785483028200602</v>
      </c>
      <c r="D13" s="11">
        <v>-0.13852364747814666</v>
      </c>
      <c r="E13" s="12" t="str">
        <f>IF(       0.822&lt;0.01,"***",IF(       0.822&lt;0.05,"**",IF(       0.822&lt;0.1,"*","NS")))</f>
        <v>NS</v>
      </c>
      <c r="G13" s="15" t="s">
        <v>7</v>
      </c>
      <c r="H13" s="11">
        <v>43.92400667567874</v>
      </c>
      <c r="I13" s="11">
        <v>44.295927127759207</v>
      </c>
      <c r="J13" s="11">
        <v>0.37192045208046465</v>
      </c>
      <c r="K13" s="12" t="str">
        <f>IF(       0.676&lt;0.01,"***",IF(       0.676&lt;0.05,"**",IF(       0.676&lt;0.1,"*","NS")))</f>
        <v>NS</v>
      </c>
      <c r="L13" s="11">
        <v>42.484761723335772</v>
      </c>
      <c r="M13" s="11">
        <v>-1.4392449523429616</v>
      </c>
      <c r="N13" s="12" t="str">
        <f>IF(       0.319&lt;0.01,"***",IF(       0.319&lt;0.05,"**",IF(       0.319&lt;0.1,"*","NS")))</f>
        <v>NS</v>
      </c>
      <c r="P13" s="15" t="s">
        <v>7</v>
      </c>
      <c r="Q13" s="11">
        <v>43.975322922385367</v>
      </c>
      <c r="R13" s="11">
        <v>42.484761723335772</v>
      </c>
      <c r="S13" s="11">
        <v>-1.4905611990496264</v>
      </c>
      <c r="T13" s="12" t="str">
        <f>IF(       0.318&lt;0.01,"***",IF(       0.318&lt;0.05,"**",IF(       0.318&lt;0.1,"*","NS")))</f>
        <v>NS</v>
      </c>
    </row>
    <row r="14" spans="1:20">
      <c r="A14" s="15" t="s">
        <v>8</v>
      </c>
      <c r="B14" s="11">
        <v>35.226414482680632</v>
      </c>
      <c r="C14" s="11">
        <v>34.579916606361493</v>
      </c>
      <c r="D14" s="11">
        <v>-0.64649787631916078</v>
      </c>
      <c r="E14" s="12" t="str">
        <f>IF(       0.541&lt;0.01,"***",IF(       0.541&lt;0.05,"**",IF(       0.541&lt;0.1,"*","NS")))</f>
        <v>NS</v>
      </c>
      <c r="G14" s="15" t="s">
        <v>8</v>
      </c>
      <c r="H14" s="11">
        <v>35.226414482680632</v>
      </c>
      <c r="I14" s="11">
        <v>35.957048916316317</v>
      </c>
      <c r="J14" s="11">
        <v>0.7306344336357119</v>
      </c>
      <c r="K14" s="12" t="str">
        <f>IF(       0.51&lt;0.01,"***",IF(       0.51&lt;0.05,"**",IF(       0.51&lt;0.1,"*","NS")))</f>
        <v>NS</v>
      </c>
      <c r="L14" s="11">
        <v>31.100017085502959</v>
      </c>
      <c r="M14" s="11">
        <v>-4.1263973971777084</v>
      </c>
      <c r="N14" s="12" t="str">
        <f>IF(       0.038&lt;0.01,"***",IF(       0.038&lt;0.05,"**",IF(       0.038&lt;0.1,"*","NS")))</f>
        <v>**</v>
      </c>
      <c r="P14" s="15" t="s">
        <v>8</v>
      </c>
      <c r="Q14" s="11">
        <v>35.292455068764838</v>
      </c>
      <c r="R14" s="11">
        <v>31.100017085502959</v>
      </c>
      <c r="S14" s="11">
        <v>-4.1924379832618675</v>
      </c>
      <c r="T14" s="12" t="str">
        <f>IF(       0.035&lt;0.01,"***",IF(       0.035&lt;0.05,"**",IF(       0.035&lt;0.1,"*","NS")))</f>
        <v>**</v>
      </c>
    </row>
    <row r="15" spans="1:20">
      <c r="A15" s="15" t="s">
        <v>10</v>
      </c>
      <c r="B15" s="11">
        <v>37.280823620183988</v>
      </c>
      <c r="C15" s="11">
        <v>38.148329300958018</v>
      </c>
      <c r="D15" s="11">
        <v>0.86750568077399237</v>
      </c>
      <c r="E15" s="12" t="str">
        <f>IF(       0.076&lt;0.01,"***",IF(       0.076&lt;0.05,"**",IF(       0.076&lt;0.1,"*","NS")))</f>
        <v>*</v>
      </c>
      <c r="G15" s="15" t="s">
        <v>10</v>
      </c>
      <c r="H15" s="11">
        <v>37.280823620183988</v>
      </c>
      <c r="I15" s="11">
        <v>38.945678791385198</v>
      </c>
      <c r="J15" s="11">
        <v>1.664855171201238</v>
      </c>
      <c r="K15" s="12" t="str">
        <f>IF(       0.007&lt;0.01,"***",IF(       0.007&lt;0.05,"**",IF(       0.007&lt;0.1,"*","NS")))</f>
        <v>***</v>
      </c>
      <c r="L15" s="11">
        <v>36.387066485566017</v>
      </c>
      <c r="M15" s="11">
        <v>-0.89375713461799544</v>
      </c>
      <c r="N15" s="12" t="str">
        <f>IF(       0.297&lt;0.01,"***",IF(       0.297&lt;0.05,"**",IF(       0.297&lt;0.1,"*","NS")))</f>
        <v>NS</v>
      </c>
      <c r="P15" s="15" t="s">
        <v>10</v>
      </c>
      <c r="Q15" s="11">
        <v>37.46206325022991</v>
      </c>
      <c r="R15" s="11">
        <v>36.387066485566017</v>
      </c>
      <c r="S15" s="11">
        <v>-1.0749967646638519</v>
      </c>
      <c r="T15" s="12" t="str">
        <f>IF(       0.213&lt;0.01,"***",IF(       0.213&lt;0.05,"**",IF(       0.213&lt;0.1,"*","NS")))</f>
        <v>NS</v>
      </c>
    </row>
    <row r="17" spans="1:20">
      <c r="A17" s="15" t="s">
        <v>242</v>
      </c>
      <c r="G17" s="15" t="s">
        <v>243</v>
      </c>
      <c r="P17" s="15" t="s">
        <v>244</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32.48463571976712</v>
      </c>
      <c r="C19" s="11">
        <v>30.21680105809499</v>
      </c>
      <c r="D19" s="11">
        <v>-2.2678346616721012</v>
      </c>
      <c r="E19" s="12" t="str">
        <f>IF(       0.008&lt;0.01,"***",IF(       0.008&lt;0.05,"**",IF(       0.008&lt;0.1,"*","NS")))</f>
        <v>***</v>
      </c>
      <c r="G19" s="15" t="s">
        <v>5</v>
      </c>
      <c r="H19" s="11">
        <v>32.48463571976712</v>
      </c>
      <c r="I19" s="11">
        <v>29.337864100562179</v>
      </c>
      <c r="J19" s="11">
        <v>-3.1467716192049364</v>
      </c>
      <c r="K19" s="12" t="str">
        <f>IF(       0&lt;0.01,"***",IF(       0&lt;0.05,"**",IF(       0&lt;0.1,"*","NS")))</f>
        <v>***</v>
      </c>
      <c r="L19" s="11">
        <v>31.512532819424319</v>
      </c>
      <c r="M19" s="11">
        <v>-0.97210290034279667</v>
      </c>
      <c r="N19" s="12" t="str">
        <f>IF(       0.56&lt;0.01,"***",IF(       0.56&lt;0.05,"**",IF(       0.56&lt;0.1,"*","NS")))</f>
        <v>NS</v>
      </c>
      <c r="P19" s="15" t="s">
        <v>5</v>
      </c>
      <c r="Q19" s="11">
        <v>32.191712703795723</v>
      </c>
      <c r="R19" s="11">
        <v>31.512532819424319</v>
      </c>
      <c r="S19" s="11">
        <v>-0.67917988437142884</v>
      </c>
      <c r="T19" s="12" t="str">
        <f>IF(       0.684&lt;0.01,"***",IF(       0.684&lt;0.05,"**",IF(       0.684&lt;0.1,"*","NS")))</f>
        <v>NS</v>
      </c>
    </row>
    <row r="20" spans="1:20">
      <c r="A20" s="15" t="s">
        <v>6</v>
      </c>
      <c r="B20" s="11">
        <v>32.71632774863653</v>
      </c>
      <c r="C20" s="11">
        <v>31.368608687925189</v>
      </c>
      <c r="D20" s="11">
        <v>-1.3477190607113432</v>
      </c>
      <c r="E20" s="12" t="str">
        <f>IF(       0.343&lt;0.01,"***",IF(       0.343&lt;0.05,"**",IF(       0.343&lt;0.1,"*","NS")))</f>
        <v>NS</v>
      </c>
      <c r="G20" s="15" t="s">
        <v>6</v>
      </c>
      <c r="H20" s="11">
        <v>32.71632774863653</v>
      </c>
      <c r="I20" s="11">
        <v>31.245100919458789</v>
      </c>
      <c r="J20" s="11">
        <v>-1.4712268291777459</v>
      </c>
      <c r="K20" s="12" t="str">
        <f>IF(       0.31&lt;0.01,"***",IF(       0.31&lt;0.05,"**",IF(       0.31&lt;0.1,"*","NS")))</f>
        <v>NS</v>
      </c>
      <c r="L20" s="11">
        <v>31.658509888830181</v>
      </c>
      <c r="M20" s="11">
        <v>-1.057817859806343</v>
      </c>
      <c r="N20" s="12" t="str">
        <f>IF(       0.628&lt;0.01,"***",IF(       0.628&lt;0.05,"**",IF(       0.628&lt;0.1,"*","NS")))</f>
        <v>NS</v>
      </c>
      <c r="P20" s="15" t="s">
        <v>6</v>
      </c>
      <c r="Q20" s="11">
        <v>32.570638521587803</v>
      </c>
      <c r="R20" s="11">
        <v>31.658509888830181</v>
      </c>
      <c r="S20" s="11">
        <v>-0.91212863275762013</v>
      </c>
      <c r="T20" s="12" t="str">
        <f>IF(       0.668&lt;0.01,"***",IF(       0.668&lt;0.05,"**",IF(       0.668&lt;0.1,"*","NS")))</f>
        <v>NS</v>
      </c>
    </row>
    <row r="21" spans="1:20" ht="15.75" customHeight="1">
      <c r="A21" s="15" t="s">
        <v>7</v>
      </c>
      <c r="B21" s="11">
        <v>43.873235366552017</v>
      </c>
      <c r="C21" s="11">
        <v>44.544899513408943</v>
      </c>
      <c r="D21" s="11">
        <v>0.67166414685693687</v>
      </c>
      <c r="E21" s="12" t="str">
        <f>IF(       0.683&lt;0.01,"***",IF(       0.683&lt;0.05,"**",IF(       0.683&lt;0.1,"*","NS")))</f>
        <v>NS</v>
      </c>
      <c r="G21" s="15" t="s">
        <v>7</v>
      </c>
      <c r="H21" s="11">
        <v>43.873235366552017</v>
      </c>
      <c r="I21" s="11">
        <v>46.798061422021043</v>
      </c>
      <c r="J21" s="11">
        <v>2.9248260554690209</v>
      </c>
      <c r="K21" s="12" t="str">
        <f>IF(       0.159&lt;0.01,"***",IF(       0.159&lt;0.05,"**",IF(       0.159&lt;0.1,"*","NS")))</f>
        <v>NS</v>
      </c>
      <c r="L21" s="11">
        <v>40.225291214167491</v>
      </c>
      <c r="M21" s="11">
        <v>-3.6479441523845404</v>
      </c>
      <c r="N21" s="12" t="str">
        <f>IF(       0.11&lt;0.01,"***",IF(       0.11&lt;0.05,"**",IF(       0.11&lt;0.1,"*","NS")))</f>
        <v>NS</v>
      </c>
      <c r="P21" s="15" t="s">
        <v>7</v>
      </c>
      <c r="Q21" s="11">
        <v>44.141408648149877</v>
      </c>
      <c r="R21" s="11">
        <v>40.225291214167491</v>
      </c>
      <c r="S21" s="11">
        <v>-3.916117433982397</v>
      </c>
      <c r="T21" s="12" t="str">
        <f>IF(       0.086&lt;0.01,"***",IF(       0.086&lt;0.05,"**",IF(       0.086&lt;0.1,"*","NS")))</f>
        <v>*</v>
      </c>
    </row>
    <row r="22" spans="1:20" ht="15.75" customHeight="1">
      <c r="A22" s="15" t="s">
        <v>8</v>
      </c>
      <c r="B22" s="11">
        <v>35.505706053732872</v>
      </c>
      <c r="C22" s="11">
        <v>33.816154664380662</v>
      </c>
      <c r="D22" s="11">
        <v>-1.6895513893522118</v>
      </c>
      <c r="E22" s="12" t="str">
        <f>IF(       0.181&lt;0.01,"***",IF(       0.181&lt;0.05,"**",IF(       0.181&lt;0.1,"*","NS")))</f>
        <v>NS</v>
      </c>
      <c r="G22" s="15" t="s">
        <v>8</v>
      </c>
      <c r="H22" s="11">
        <v>35.505706053732872</v>
      </c>
      <c r="I22" s="11">
        <v>34.411284929367532</v>
      </c>
      <c r="J22" s="11">
        <v>-1.0944211243653594</v>
      </c>
      <c r="K22" s="12" t="str">
        <f>IF(       0.41&lt;0.01,"***",IF(       0.41&lt;0.05,"**",IF(       0.41&lt;0.1,"*","NS")))</f>
        <v>NS</v>
      </c>
      <c r="L22" s="11">
        <v>32.486973094954337</v>
      </c>
      <c r="M22" s="11">
        <v>-3.018732958778533</v>
      </c>
      <c r="N22" s="12" t="str">
        <f>IF(       0.184&lt;0.01,"***",IF(       0.184&lt;0.05,"**",IF(       0.184&lt;0.1,"*","NS")))</f>
        <v>NS</v>
      </c>
      <c r="P22" s="15" t="s">
        <v>8</v>
      </c>
      <c r="Q22" s="11">
        <v>35.405758180828869</v>
      </c>
      <c r="R22" s="11">
        <v>32.486973094954337</v>
      </c>
      <c r="S22" s="11">
        <v>-2.9187850858746289</v>
      </c>
      <c r="T22" s="12" t="str">
        <f>IF(       0.196&lt;0.01,"***",IF(       0.196&lt;0.05,"**",IF(       0.196&lt;0.1,"*","NS")))</f>
        <v>NS</v>
      </c>
    </row>
    <row r="23" spans="1:20" ht="15.75" customHeight="1">
      <c r="A23" s="15" t="s">
        <v>10</v>
      </c>
      <c r="B23" s="11">
        <v>37.687467686468139</v>
      </c>
      <c r="C23" s="11">
        <v>36.668095635571447</v>
      </c>
      <c r="D23" s="11">
        <v>-1.0193720508966964</v>
      </c>
      <c r="E23" s="12" t="str">
        <f>IF(       0.271&lt;0.01,"***",IF(       0.271&lt;0.05,"**",IF(       0.271&lt;0.1,"*","NS")))</f>
        <v>NS</v>
      </c>
      <c r="G23" s="15" t="s">
        <v>10</v>
      </c>
      <c r="H23" s="11">
        <v>37.687467686468139</v>
      </c>
      <c r="I23" s="11">
        <v>37.512924525083307</v>
      </c>
      <c r="J23" s="11">
        <v>-0.17454316138481951</v>
      </c>
      <c r="K23" s="12" t="str">
        <f>IF(       0.884&lt;0.01,"***",IF(       0.884&lt;0.05,"**",IF(       0.884&lt;0.1,"*","NS")))</f>
        <v>NS</v>
      </c>
      <c r="L23" s="11">
        <v>35.088895211568612</v>
      </c>
      <c r="M23" s="11">
        <v>-2.598572474899548</v>
      </c>
      <c r="N23" s="12" t="str">
        <f>IF(       0.05&lt;0.01,"***",IF(       0.05&lt;0.05,"**",IF(       0.05&lt;0.1,"*","NS")))</f>
        <v>*</v>
      </c>
      <c r="P23" s="15" t="s">
        <v>10</v>
      </c>
      <c r="Q23" s="11">
        <v>37.671200033870313</v>
      </c>
      <c r="R23" s="11">
        <v>35.088895211568612</v>
      </c>
      <c r="S23" s="11">
        <v>-2.5823048223018175</v>
      </c>
      <c r="T23" s="12" t="str">
        <f>IF(       0.052&lt;0.01,"***",IF(       0.052&lt;0.05,"**",IF(       0.052&lt;0.1,"*","NS")))</f>
        <v>*</v>
      </c>
    </row>
    <row r="24" spans="1:20" ht="15.75" customHeight="1"/>
    <row r="25" spans="1:20" ht="15.75" customHeight="1">
      <c r="A25" s="15" t="s">
        <v>245</v>
      </c>
      <c r="G25" s="15" t="s">
        <v>246</v>
      </c>
      <c r="P25" s="15" t="s">
        <v>247</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30.003987323513581</v>
      </c>
      <c r="C27" s="11">
        <v>28.391466864983151</v>
      </c>
      <c r="D27" s="11">
        <v>-1.6125204585304593</v>
      </c>
      <c r="E27" s="12" t="str">
        <f>IF(       0.033&lt;0.01,"***",IF(       0.033&lt;0.05,"**",IF(       0.033&lt;0.1,"*","NS")))</f>
        <v>**</v>
      </c>
      <c r="G27" s="15" t="s">
        <v>5</v>
      </c>
      <c r="H27" s="11">
        <v>30.003987323513581</v>
      </c>
      <c r="I27" s="11">
        <v>27.964976657603259</v>
      </c>
      <c r="J27" s="11">
        <v>-2.0390106659103595</v>
      </c>
      <c r="K27" s="12" t="str">
        <f>IF(       0.001&lt;0.01,"***",IF(       0.001&lt;0.05,"**",IF(       0.001&lt;0.1,"*","NS")))</f>
        <v>***</v>
      </c>
      <c r="L27" s="11">
        <v>29.022067749830271</v>
      </c>
      <c r="M27" s="11">
        <v>-0.98191957368337712</v>
      </c>
      <c r="N27" s="12" t="str">
        <f>IF(       0.418&lt;0.01,"***",IF(       0.418&lt;0.05,"**",IF(       0.418&lt;0.1,"*","NS")))</f>
        <v>NS</v>
      </c>
      <c r="P27" s="15" t="s">
        <v>5</v>
      </c>
      <c r="Q27" s="11">
        <v>29.81961915390082</v>
      </c>
      <c r="R27" s="11">
        <v>29.022067749830271</v>
      </c>
      <c r="S27" s="11">
        <v>-0.79755140407057323</v>
      </c>
      <c r="T27" s="12" t="str">
        <f>IF(       0.501&lt;0.01,"***",IF(       0.501&lt;0.05,"**",IF(       0.501&lt;0.1,"*","NS")))</f>
        <v>NS</v>
      </c>
    </row>
    <row r="28" spans="1:20" ht="15.75" customHeight="1">
      <c r="A28" s="15" t="s">
        <v>6</v>
      </c>
      <c r="B28" s="11">
        <v>29.302117168556009</v>
      </c>
      <c r="C28" s="11">
        <v>29.010258280673369</v>
      </c>
      <c r="D28" s="11">
        <v>-0.29185888788263253</v>
      </c>
      <c r="E28" s="12" t="str">
        <f>IF(       0.85&lt;0.01,"***",IF(       0.85&lt;0.05,"**",IF(       0.85&lt;0.1,"*","NS")))</f>
        <v>NS</v>
      </c>
      <c r="G28" s="15" t="s">
        <v>6</v>
      </c>
      <c r="H28" s="11">
        <v>29.302117168556009</v>
      </c>
      <c r="I28" s="11">
        <v>29.108031341822588</v>
      </c>
      <c r="J28" s="11">
        <v>-0.19408582673340832</v>
      </c>
      <c r="K28" s="12" t="str">
        <f>IF(       0.918&lt;0.01,"***",IF(       0.918&lt;0.05,"**",IF(       0.918&lt;0.1,"*","NS")))</f>
        <v>NS</v>
      </c>
      <c r="L28" s="11">
        <v>28.78822524137513</v>
      </c>
      <c r="M28" s="11">
        <v>-0.51389192718087706</v>
      </c>
      <c r="N28" s="12" t="str">
        <f>IF(       0.751&lt;0.01,"***",IF(       0.751&lt;0.05,"**",IF(       0.751&lt;0.1,"*","NS")))</f>
        <v>NS</v>
      </c>
      <c r="P28" s="15" t="s">
        <v>6</v>
      </c>
      <c r="Q28" s="11">
        <v>29.284625354370021</v>
      </c>
      <c r="R28" s="11">
        <v>28.78822524137513</v>
      </c>
      <c r="S28" s="11">
        <v>-0.49640011299485381</v>
      </c>
      <c r="T28" s="12" t="str">
        <f>IF(       0.753&lt;0.01,"***",IF(       0.753&lt;0.05,"**",IF(       0.753&lt;0.1,"*","NS")))</f>
        <v>NS</v>
      </c>
    </row>
    <row r="29" spans="1:20" ht="15.75" customHeight="1">
      <c r="A29" s="15" t="s">
        <v>7</v>
      </c>
      <c r="B29" s="11">
        <v>34.312553723804108</v>
      </c>
      <c r="C29" s="11">
        <v>32.000584730409969</v>
      </c>
      <c r="D29" s="11">
        <v>-2.3119689933941427</v>
      </c>
      <c r="E29" s="12" t="str">
        <f>IF(       0.034&lt;0.01,"***",IF(       0.034&lt;0.05,"**",IF(       0.034&lt;0.1,"*","NS")))</f>
        <v>**</v>
      </c>
      <c r="G29" s="15" t="s">
        <v>7</v>
      </c>
      <c r="H29" s="11">
        <v>34.312553723804108</v>
      </c>
      <c r="I29" s="11">
        <v>31.855121983691269</v>
      </c>
      <c r="J29" s="11">
        <v>-2.4574317401127921</v>
      </c>
      <c r="K29" s="12" t="str">
        <f>IF(       0.071&lt;0.01,"***",IF(       0.071&lt;0.05,"**",IF(       0.071&lt;0.1,"*","NS")))</f>
        <v>*</v>
      </c>
      <c r="L29" s="11">
        <v>32.273169376980277</v>
      </c>
      <c r="M29" s="11">
        <v>-2.0393843468238289</v>
      </c>
      <c r="N29" s="12" t="str">
        <f>IF(       0.091&lt;0.01,"***",IF(       0.091&lt;0.05,"**",IF(       0.091&lt;0.1,"*","NS")))</f>
        <v>*</v>
      </c>
      <c r="P29" s="15" t="s">
        <v>7</v>
      </c>
      <c r="Q29" s="11">
        <v>34.039232409636313</v>
      </c>
      <c r="R29" s="11">
        <v>32.273169376980277</v>
      </c>
      <c r="S29" s="11">
        <v>-1.7660630326560089</v>
      </c>
      <c r="T29" s="12" t="str">
        <f>IF(       0.13&lt;0.01,"***",IF(       0.13&lt;0.05,"**",IF(       0.13&lt;0.1,"*","NS")))</f>
        <v>NS</v>
      </c>
    </row>
    <row r="30" spans="1:20" ht="15.75" customHeight="1">
      <c r="A30" s="15" t="s">
        <v>8</v>
      </c>
      <c r="B30" s="11">
        <v>32.36510148367509</v>
      </c>
      <c r="C30" s="11">
        <v>30.663726454610011</v>
      </c>
      <c r="D30" s="11">
        <v>-1.7013750290651211</v>
      </c>
      <c r="E30" s="12" t="str">
        <f>IF(       0.13&lt;0.01,"***",IF(       0.13&lt;0.05,"**",IF(       0.13&lt;0.1,"*","NS")))</f>
        <v>NS</v>
      </c>
      <c r="G30" s="15" t="s">
        <v>8</v>
      </c>
      <c r="H30" s="11">
        <v>32.36510148367509</v>
      </c>
      <c r="I30" s="11">
        <v>31.698056175231059</v>
      </c>
      <c r="J30" s="11">
        <v>-0.6670453084440372</v>
      </c>
      <c r="K30" s="12" t="str">
        <f>IF(       0.585&lt;0.01,"***",IF(       0.585&lt;0.05,"**",IF(       0.585&lt;0.1,"*","NS")))</f>
        <v>NS</v>
      </c>
      <c r="L30" s="11">
        <v>28.174138082861241</v>
      </c>
      <c r="M30" s="11">
        <v>-4.1909634008137502</v>
      </c>
      <c r="N30" s="12" t="str">
        <f>IF(       0.007&lt;0.01,"***",IF(       0.007&lt;0.05,"**",IF(       0.007&lt;0.1,"*","NS")))</f>
        <v>***</v>
      </c>
      <c r="P30" s="15" t="s">
        <v>8</v>
      </c>
      <c r="Q30" s="11">
        <v>32.30342033728364</v>
      </c>
      <c r="R30" s="11">
        <v>28.174138082861241</v>
      </c>
      <c r="S30" s="11">
        <v>-4.1292822544224395</v>
      </c>
      <c r="T30" s="12" t="str">
        <f>IF(       0.007&lt;0.01,"***",IF(       0.007&lt;0.05,"**",IF(       0.007&lt;0.1,"*","NS")))</f>
        <v>***</v>
      </c>
    </row>
    <row r="31" spans="1:20" ht="15.75" customHeight="1">
      <c r="A31" s="15" t="s">
        <v>10</v>
      </c>
      <c r="B31" s="11">
        <v>30.898150917301869</v>
      </c>
      <c r="C31" s="11">
        <v>29.508471138720079</v>
      </c>
      <c r="D31" s="11">
        <v>-1.3896797785818729</v>
      </c>
      <c r="E31" s="12" t="str">
        <f>IF(       0.008&lt;0.01,"***",IF(       0.008&lt;0.05,"**",IF(       0.008&lt;0.1,"*","NS")))</f>
        <v>***</v>
      </c>
      <c r="G31" s="15" t="s">
        <v>10</v>
      </c>
      <c r="H31" s="11">
        <v>30.898150917301869</v>
      </c>
      <c r="I31" s="11">
        <v>29.58439151915368</v>
      </c>
      <c r="J31" s="11">
        <v>-1.3137593981482052</v>
      </c>
      <c r="K31" s="12" t="str">
        <f>IF(       0.023&lt;0.01,"***",IF(       0.023&lt;0.05,"**",IF(       0.023&lt;0.1,"*","NS")))</f>
        <v>**</v>
      </c>
      <c r="L31" s="11">
        <v>29.370536223522059</v>
      </c>
      <c r="M31" s="11">
        <v>-1.5276146937798942</v>
      </c>
      <c r="N31" s="12" t="str">
        <f>IF(       0.047&lt;0.01,"***",IF(       0.047&lt;0.05,"**",IF(       0.047&lt;0.1,"*","NS")))</f>
        <v>**</v>
      </c>
      <c r="P31" s="15" t="s">
        <v>10</v>
      </c>
      <c r="Q31" s="11">
        <v>30.775151040768758</v>
      </c>
      <c r="R31" s="11">
        <v>29.370536223522059</v>
      </c>
      <c r="S31" s="11">
        <v>-1.4046148172468063</v>
      </c>
      <c r="T31" s="12" t="str">
        <f>IF(       0.062&lt;0.01,"***",IF(       0.062&lt;0.05,"**",IF(       0.062&lt;0.1,"*","NS")))</f>
        <v>*</v>
      </c>
    </row>
    <row r="32" spans="1:20" ht="15.75" customHeight="1"/>
    <row r="33" spans="1:20" ht="15.75" customHeight="1">
      <c r="A33" s="15" t="s">
        <v>248</v>
      </c>
      <c r="G33" s="15" t="s">
        <v>249</v>
      </c>
      <c r="P33" s="15" t="s">
        <v>250</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43.483095756411828</v>
      </c>
      <c r="C35" s="11">
        <v>43.499339988053102</v>
      </c>
      <c r="D35" s="11">
        <v>1.6244231641272772E-2</v>
      </c>
      <c r="E35" s="12" t="str">
        <f>IF(       0.988&lt;0.01,"***",IF(       0.988&lt;0.05,"**",IF(       0.988&lt;0.1,"*","NS")))</f>
        <v>NS</v>
      </c>
      <c r="G35" s="15" t="s">
        <v>5</v>
      </c>
      <c r="H35" s="11">
        <v>43.483095756411828</v>
      </c>
      <c r="I35" s="11">
        <v>44.232488166934061</v>
      </c>
      <c r="J35" s="11">
        <v>0.74939241052224848</v>
      </c>
      <c r="K35" s="12" t="str">
        <f>IF(       0.635&lt;0.01,"***",IF(       0.635&lt;0.05,"**",IF(       0.635&lt;0.1,"*","NS")))</f>
        <v>NS</v>
      </c>
      <c r="L35" s="11">
        <v>42.286824108227769</v>
      </c>
      <c r="M35" s="11">
        <v>-1.1962716481840185</v>
      </c>
      <c r="N35" s="12" t="str">
        <f>IF(       0.491&lt;0.01,"***",IF(       0.491&lt;0.05,"**",IF(       0.491&lt;0.1,"*","NS")))</f>
        <v>NS</v>
      </c>
      <c r="P35" s="15" t="s">
        <v>5</v>
      </c>
      <c r="Q35" s="11">
        <v>43.555082874907228</v>
      </c>
      <c r="R35" s="11">
        <v>42.286824108227769</v>
      </c>
      <c r="S35" s="11">
        <v>-1.2682587666794445</v>
      </c>
      <c r="T35" s="12" t="str">
        <f>IF(       0.474&lt;0.01,"***",IF(       0.474&lt;0.05,"**",IF(       0.474&lt;0.1,"*","NS")))</f>
        <v>NS</v>
      </c>
    </row>
    <row r="36" spans="1:20" ht="15.75" customHeight="1">
      <c r="A36" s="15" t="s">
        <v>6</v>
      </c>
      <c r="B36" s="11">
        <v>40.102063927373031</v>
      </c>
      <c r="C36" s="11">
        <v>40.381006359272448</v>
      </c>
      <c r="D36" s="11">
        <v>0.27894243189942985</v>
      </c>
      <c r="E36" s="12" t="str">
        <f>IF(       0.874&lt;0.01,"***",IF(       0.874&lt;0.05,"**",IF(       0.874&lt;0.1,"*","NS")))</f>
        <v>NS</v>
      </c>
      <c r="G36" s="15" t="s">
        <v>6</v>
      </c>
      <c r="H36" s="11">
        <v>40.102063927373031</v>
      </c>
      <c r="I36" s="11">
        <v>39.497806029359069</v>
      </c>
      <c r="J36" s="11">
        <v>-0.60425789801395058</v>
      </c>
      <c r="K36" s="12" t="str">
        <f>IF(       0.758&lt;0.01,"***",IF(       0.758&lt;0.05,"**",IF(       0.758&lt;0.1,"*","NS")))</f>
        <v>NS</v>
      </c>
      <c r="L36" s="11">
        <v>43.356489907390213</v>
      </c>
      <c r="M36" s="11">
        <v>3.2544259800171855</v>
      </c>
      <c r="N36" s="12" t="str">
        <f>IF(       0.381&lt;0.01,"***",IF(       0.381&lt;0.05,"**",IF(       0.381&lt;0.1,"*","NS")))</f>
        <v>NS</v>
      </c>
      <c r="P36" s="15" t="s">
        <v>6</v>
      </c>
      <c r="Q36" s="11">
        <v>40.039815816891853</v>
      </c>
      <c r="R36" s="11">
        <v>43.356489907390213</v>
      </c>
      <c r="S36" s="11">
        <v>3.3166740904984002</v>
      </c>
      <c r="T36" s="12" t="str">
        <f>IF(       0.372&lt;0.01,"***",IF(       0.372&lt;0.05,"**",IF(       0.372&lt;0.1,"*","NS")))</f>
        <v>NS</v>
      </c>
    </row>
    <row r="37" spans="1:20" ht="15.75" customHeight="1">
      <c r="A37" s="15" t="s">
        <v>7</v>
      </c>
      <c r="B37" s="11">
        <v>46.02125989295174</v>
      </c>
      <c r="C37" s="11">
        <v>46.748116003946983</v>
      </c>
      <c r="D37" s="11">
        <v>0.72685611099524272</v>
      </c>
      <c r="E37" s="12" t="str">
        <f>IF(       0.434&lt;0.01,"***",IF(       0.434&lt;0.05,"**",IF(       0.434&lt;0.1,"*","NS")))</f>
        <v>NS</v>
      </c>
      <c r="G37" s="15" t="s">
        <v>7</v>
      </c>
      <c r="H37" s="11">
        <v>46.02125989295174</v>
      </c>
      <c r="I37" s="11">
        <v>47.903801220128251</v>
      </c>
      <c r="J37" s="11">
        <v>1.8825413271765503</v>
      </c>
      <c r="K37" s="12" t="str">
        <f>IF(       0.095&lt;0.01,"***",IF(       0.095&lt;0.05,"**",IF(       0.095&lt;0.1,"*","NS")))</f>
        <v>*</v>
      </c>
      <c r="L37" s="11">
        <v>43.981113112627654</v>
      </c>
      <c r="M37" s="11">
        <v>-2.0401467803241218</v>
      </c>
      <c r="N37" s="12" t="str">
        <f>IF(       0.251&lt;0.01,"***",IF(       0.251&lt;0.05,"**",IF(       0.251&lt;0.1,"*","NS")))</f>
        <v>NS</v>
      </c>
      <c r="P37" s="15" t="s">
        <v>7</v>
      </c>
      <c r="Q37" s="11">
        <v>46.244678251141067</v>
      </c>
      <c r="R37" s="11">
        <v>43.981113112627654</v>
      </c>
      <c r="S37" s="11">
        <v>-2.2635651385135036</v>
      </c>
      <c r="T37" s="12" t="str">
        <f>IF(       0.207&lt;0.01,"***",IF(       0.207&lt;0.05,"**",IF(       0.207&lt;0.1,"*","NS")))</f>
        <v>NS</v>
      </c>
    </row>
    <row r="38" spans="1:20" ht="15.75" customHeight="1">
      <c r="A38" s="15" t="s">
        <v>8</v>
      </c>
      <c r="B38" s="11">
        <v>41.999618389336042</v>
      </c>
      <c r="C38" s="11">
        <v>42.557669937597623</v>
      </c>
      <c r="D38" s="11">
        <v>0.55805154826157344</v>
      </c>
      <c r="E38" s="12" t="str">
        <f>IF(       0.747&lt;0.01,"***",IF(       0.747&lt;0.05,"**",IF(       0.747&lt;0.1,"*","NS")))</f>
        <v>NS</v>
      </c>
      <c r="G38" s="15" t="s">
        <v>8</v>
      </c>
      <c r="H38" s="11">
        <v>41.999618389336042</v>
      </c>
      <c r="I38" s="11">
        <v>43.633671075575187</v>
      </c>
      <c r="J38" s="11">
        <v>1.6340526862391525</v>
      </c>
      <c r="K38" s="12" t="str">
        <f>IF(       0.388&lt;0.01,"***",IF(       0.388&lt;0.05,"**",IF(       0.388&lt;0.1,"*","NS")))</f>
        <v>NS</v>
      </c>
      <c r="L38" s="11">
        <v>40.058293009732317</v>
      </c>
      <c r="M38" s="11">
        <v>-1.9413253796037013</v>
      </c>
      <c r="N38" s="12" t="str">
        <f>IF(       0.496&lt;0.01,"***",IF(       0.496&lt;0.05,"**",IF(       0.496&lt;0.1,"*","NS")))</f>
        <v>NS</v>
      </c>
      <c r="P38" s="15" t="s">
        <v>8</v>
      </c>
      <c r="Q38" s="11">
        <v>42.142007399160043</v>
      </c>
      <c r="R38" s="11">
        <v>40.058293009732317</v>
      </c>
      <c r="S38" s="11">
        <v>-2.0837143894277426</v>
      </c>
      <c r="T38" s="12" t="str">
        <f>IF(       0.46&lt;0.01,"***",IF(       0.46&lt;0.05,"**",IF(       0.46&lt;0.1,"*","NS")))</f>
        <v>NS</v>
      </c>
    </row>
    <row r="39" spans="1:20" ht="15.75" customHeight="1">
      <c r="A39" s="15" t="s">
        <v>10</v>
      </c>
      <c r="B39" s="11">
        <v>44.670649416018648</v>
      </c>
      <c r="C39" s="11">
        <v>45.475385036083857</v>
      </c>
      <c r="D39" s="11">
        <v>0.80473562006520483</v>
      </c>
      <c r="E39" s="12" t="str">
        <f>IF(       0.247&lt;0.01,"***",IF(       0.247&lt;0.05,"**",IF(       0.247&lt;0.1,"*","NS")))</f>
        <v>NS</v>
      </c>
      <c r="G39" s="15" t="s">
        <v>10</v>
      </c>
      <c r="H39" s="11">
        <v>44.670649416018648</v>
      </c>
      <c r="I39" s="11">
        <v>46.363280538847157</v>
      </c>
      <c r="J39" s="11">
        <v>1.6926311228285722</v>
      </c>
      <c r="K39" s="12" t="str">
        <f>IF(       0.048&lt;0.01,"***",IF(       0.048&lt;0.05,"**",IF(       0.048&lt;0.1,"*","NS")))</f>
        <v>**</v>
      </c>
      <c r="L39" s="11">
        <v>43.390421333845843</v>
      </c>
      <c r="M39" s="11">
        <v>-1.2802280821728675</v>
      </c>
      <c r="N39" s="12" t="str">
        <f>IF(       0.324&lt;0.01,"***",IF(       0.324&lt;0.05,"**",IF(       0.324&lt;0.1,"*","NS")))</f>
        <v>NS</v>
      </c>
      <c r="P39" s="15" t="s">
        <v>10</v>
      </c>
      <c r="Q39" s="11">
        <v>44.858955455142841</v>
      </c>
      <c r="R39" s="11">
        <v>43.390421333845843</v>
      </c>
      <c r="S39" s="11">
        <v>-1.4685341212969636</v>
      </c>
      <c r="T39" s="12" t="str">
        <f>IF(       0.262&lt;0.01,"***",IF(       0.262&lt;0.05,"**",IF(       0.262&lt;0.1,"*","NS")))</f>
        <v>NS</v>
      </c>
    </row>
    <row r="40" spans="1:20" ht="15.75" customHeight="1"/>
    <row r="41" spans="1:20" ht="15.75" customHeight="1">
      <c r="A41" s="15" t="s">
        <v>251</v>
      </c>
      <c r="G41" s="15" t="s">
        <v>252</v>
      </c>
      <c r="P41" s="15" t="s">
        <v>253</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32.997064807506028</v>
      </c>
      <c r="C43" s="11">
        <v>30.335171013464091</v>
      </c>
      <c r="D43" s="11">
        <v>-2.6618937940419194</v>
      </c>
      <c r="E43" s="12" t="str">
        <f>IF(       0.047&lt;0.01,"***",IF(       0.047&lt;0.05,"**",IF(       0.047&lt;0.1,"*","NS")))</f>
        <v>**</v>
      </c>
      <c r="G43" s="15" t="s">
        <v>5</v>
      </c>
      <c r="H43" s="11">
        <v>32.997064807506028</v>
      </c>
      <c r="I43" s="11">
        <v>31.373318105800241</v>
      </c>
      <c r="J43" s="11">
        <v>-1.6237467017057658</v>
      </c>
      <c r="K43" s="12" t="str">
        <f>IF(       0.323&lt;0.01,"***",IF(       0.323&lt;0.05,"**",IF(       0.323&lt;0.1,"*","NS")))</f>
        <v>NS</v>
      </c>
      <c r="L43" s="11">
        <v>28.764221150455949</v>
      </c>
      <c r="M43" s="11">
        <v>-4.2328436570500836</v>
      </c>
      <c r="N43" s="12" t="str">
        <f>IF(       0.427&lt;0.01,"***",IF(       0.427&lt;0.05,"**",IF(       0.427&lt;0.1,"*","NS")))</f>
        <v>NS</v>
      </c>
      <c r="P43" s="15" t="s">
        <v>5</v>
      </c>
      <c r="Q43" s="11">
        <v>32.941323388997361</v>
      </c>
      <c r="R43" s="11">
        <v>28.764221150455949</v>
      </c>
      <c r="S43" s="11">
        <v>-4.1771022385414227</v>
      </c>
      <c r="T43" s="12" t="str">
        <f>IF(       0.004&lt;0.01,"***",IF(       0.004&lt;0.05,"**",IF(       0.004&lt;0.1,"*","NS")))</f>
        <v>***</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43.850169027418268</v>
      </c>
      <c r="C45" s="11">
        <v>43.921525398988592</v>
      </c>
      <c r="D45" s="11">
        <v>7.1356371570309177E-2</v>
      </c>
      <c r="E45" s="12" t="str">
        <f>IF(       0.952&lt;0.01,"***",IF(       0.952&lt;0.05,"**",IF(       0.952&lt;0.1,"*","NS")))</f>
        <v>NS</v>
      </c>
      <c r="G45" s="15" t="s">
        <v>7</v>
      </c>
      <c r="H45" s="11">
        <v>43.850169027418268</v>
      </c>
      <c r="I45" s="11">
        <v>44.223789387880842</v>
      </c>
      <c r="J45" s="11">
        <v>0.37362036046258851</v>
      </c>
      <c r="K45" s="12" t="str">
        <f>IF(       0.791&lt;0.01,"***",IF(       0.791&lt;0.05,"**",IF(       0.791&lt;0.1,"*","NS")))</f>
        <v>NS</v>
      </c>
      <c r="L45" s="11">
        <v>42.807496818660773</v>
      </c>
      <c r="M45" s="11">
        <v>-1.0426722087574658</v>
      </c>
      <c r="N45" s="12" t="str">
        <f>IF(       0.335&lt;0.01,"***",IF(       0.335&lt;0.05,"**",IF(       0.335&lt;0.1,"*","NS")))</f>
        <v>NS</v>
      </c>
      <c r="P45" s="15" t="s">
        <v>7</v>
      </c>
      <c r="Q45" s="11">
        <v>43.875621732804369</v>
      </c>
      <c r="R45" s="11">
        <v>42.807496818660773</v>
      </c>
      <c r="S45" s="11">
        <v>-1.0681249141435918</v>
      </c>
      <c r="T45" s="12" t="str">
        <f>IF(       0.61&lt;0.01,"***",IF(       0.61&lt;0.05,"**",IF(       0.61&lt;0.1,"*","NS")))</f>
        <v>NS</v>
      </c>
    </row>
    <row r="46" spans="1:20" ht="15.75" customHeight="1">
      <c r="A46" s="15" t="s">
        <v>8</v>
      </c>
      <c r="B46" s="11">
        <v>35.800403403697707</v>
      </c>
      <c r="C46" s="11">
        <v>34.533982497032348</v>
      </c>
      <c r="D46" s="11">
        <v>-1.2664209066653964</v>
      </c>
      <c r="E46" s="12" t="str">
        <f>IF(       0.397&lt;0.01,"***",IF(       0.397&lt;0.05,"**",IF(       0.397&lt;0.1,"*","NS")))</f>
        <v>NS</v>
      </c>
      <c r="G46" s="15" t="s">
        <v>8</v>
      </c>
      <c r="H46" s="11">
        <v>35.800403403697707</v>
      </c>
      <c r="I46" s="11">
        <v>34.865482339230446</v>
      </c>
      <c r="J46" s="11">
        <v>-0.93492106446724521</v>
      </c>
      <c r="K46" s="12" t="str">
        <f>IF(       0.568&lt;0.01,"***",IF(       0.568&lt;0.05,"**",IF(       0.568&lt;0.1,"*","NS")))</f>
        <v>NS</v>
      </c>
      <c r="L46" s="11">
        <v>33.348099611314453</v>
      </c>
      <c r="M46" s="11">
        <v>-2.4523037923831961</v>
      </c>
      <c r="N46" s="12" t="str">
        <f>IF(       0.617&lt;0.01,"***",IF(       0.617&lt;0.05,"**",IF(       0.617&lt;0.1,"*","NS")))</f>
        <v>NS</v>
      </c>
      <c r="P46" s="15" t="s">
        <v>8</v>
      </c>
      <c r="Q46" s="11">
        <v>35.756771917091733</v>
      </c>
      <c r="R46" s="11">
        <v>33.348099611314453</v>
      </c>
      <c r="S46" s="11">
        <v>-2.4086723057773316</v>
      </c>
      <c r="T46" s="12" t="str">
        <f>IF(       0.409&lt;0.01,"***",IF(       0.409&lt;0.05,"**",IF(       0.409&lt;0.1,"*","NS")))</f>
        <v>NS</v>
      </c>
    </row>
    <row r="47" spans="1:20" ht="15.75" customHeight="1">
      <c r="A47" s="15" t="s">
        <v>10</v>
      </c>
      <c r="B47" s="11">
        <v>37.631090631308673</v>
      </c>
      <c r="C47" s="11">
        <v>38.028487675939743</v>
      </c>
      <c r="D47" s="11">
        <v>0.39739704463110626</v>
      </c>
      <c r="E47" s="12" t="str">
        <f>IF(       0.653&lt;0.01,"***",IF(       0.653&lt;0.05,"**",IF(       0.653&lt;0.1,"*","NS")))</f>
        <v>NS</v>
      </c>
      <c r="G47" s="15" t="s">
        <v>10</v>
      </c>
      <c r="H47" s="11">
        <v>37.631090631308673</v>
      </c>
      <c r="I47" s="11">
        <v>39.031478328470797</v>
      </c>
      <c r="J47" s="11">
        <v>1.4003876971621476</v>
      </c>
      <c r="K47" s="12" t="str">
        <f>IF(       0.194&lt;0.01,"***",IF(       0.194&lt;0.05,"**",IF(       0.194&lt;0.1,"*","NS")))</f>
        <v>NS</v>
      </c>
      <c r="L47" s="11">
        <v>35.223761907894833</v>
      </c>
      <c r="M47" s="11">
        <v>-2.4073287234138943</v>
      </c>
      <c r="N47" s="12" t="str">
        <f>IF(       0.053&lt;0.01,"***",IF(       0.053&lt;0.05,"**",IF(       0.053&lt;0.1,"*","NS")))</f>
        <v>*</v>
      </c>
      <c r="P47" s="15" t="s">
        <v>10</v>
      </c>
      <c r="Q47" s="11">
        <v>37.701880063246207</v>
      </c>
      <c r="R47" s="11">
        <v>35.223761907894833</v>
      </c>
      <c r="S47" s="11">
        <v>-2.4781181553514533</v>
      </c>
      <c r="T47" s="12" t="str">
        <f>IF(       0.047&lt;0.01,"***",IF(       0.047&lt;0.05,"**",IF(       0.047&lt;0.1,"*","NS")))</f>
        <v>**</v>
      </c>
    </row>
    <row r="48" spans="1:20" ht="15.75" customHeight="1"/>
    <row r="49" spans="1:20" ht="15.75" customHeight="1">
      <c r="A49" s="15" t="s">
        <v>254</v>
      </c>
      <c r="G49" s="15" t="s">
        <v>255</v>
      </c>
      <c r="P49" s="15" t="s">
        <v>256</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31.71921933183426</v>
      </c>
      <c r="C51" s="11">
        <v>31.92253769888487</v>
      </c>
      <c r="D51" s="11">
        <v>0.2033183670506081</v>
      </c>
      <c r="E51" s="12" t="str">
        <f>IF(       0.829&lt;0.01,"***",IF(       0.829&lt;0.05,"**",IF(       0.829&lt;0.1,"*","NS")))</f>
        <v>NS</v>
      </c>
      <c r="G51" s="15" t="s">
        <v>5</v>
      </c>
      <c r="H51" s="11">
        <v>31.71921933183426</v>
      </c>
      <c r="I51" s="11">
        <v>31.430348225739159</v>
      </c>
      <c r="J51" s="11">
        <v>-0.28887110609510785</v>
      </c>
      <c r="K51" s="12" t="str">
        <f>IF(       0.761&lt;0.01,"***",IF(       0.761&lt;0.05,"**",IF(       0.761&lt;0.1,"*","NS")))</f>
        <v>NS</v>
      </c>
      <c r="L51" s="11">
        <v>32.666889698313213</v>
      </c>
      <c r="M51" s="11">
        <v>0.9476703664789603</v>
      </c>
      <c r="N51" s="12" t="str">
        <f>IF(       0.459&lt;0.01,"***",IF(       0.459&lt;0.05,"**",IF(       0.459&lt;0.1,"*","NS")))</f>
        <v>NS</v>
      </c>
      <c r="P51" s="15" t="s">
        <v>5</v>
      </c>
      <c r="Q51" s="11">
        <v>31.64736943486054</v>
      </c>
      <c r="R51" s="11">
        <v>32.666889698313213</v>
      </c>
      <c r="S51" s="11">
        <v>1.0195202634526677</v>
      </c>
      <c r="T51" s="12" t="str">
        <f>IF(       0.387&lt;0.01,"***",IF(       0.387&lt;0.05,"**",IF(       0.387&lt;0.1,"*","NS")))</f>
        <v>NS</v>
      </c>
    </row>
    <row r="52" spans="1:20" ht="15.75" customHeight="1">
      <c r="A52" s="15" t="s">
        <v>6</v>
      </c>
      <c r="B52" s="11">
        <v>32.175005762854148</v>
      </c>
      <c r="C52" s="11">
        <v>32.592207830901508</v>
      </c>
      <c r="D52" s="11">
        <v>0.41720206804736082</v>
      </c>
      <c r="E52" s="12" t="str">
        <f>IF(       0.72&lt;0.01,"***",IF(       0.72&lt;0.05,"**",IF(       0.72&lt;0.1,"*","NS")))</f>
        <v>NS</v>
      </c>
      <c r="G52" s="15" t="s">
        <v>6</v>
      </c>
      <c r="H52" s="11">
        <v>32.175005762854148</v>
      </c>
      <c r="I52" s="11">
        <v>32.335046207310931</v>
      </c>
      <c r="J52" s="11">
        <v>0.16004044445678134</v>
      </c>
      <c r="K52" s="12" t="str">
        <f>IF(       0.903&lt;0.01,"***",IF(       0.903&lt;0.05,"**",IF(       0.903&lt;0.1,"*","NS")))</f>
        <v>NS</v>
      </c>
      <c r="L52" s="11">
        <v>33.213755536983363</v>
      </c>
      <c r="M52" s="11">
        <v>1.0387497741292107</v>
      </c>
      <c r="N52" s="12" t="str">
        <f>IF(       0.569&lt;0.01,"***",IF(       0.569&lt;0.05,"**",IF(       0.569&lt;0.1,"*","NS")))</f>
        <v>NS</v>
      </c>
      <c r="P52" s="15" t="s">
        <v>6</v>
      </c>
      <c r="Q52" s="11">
        <v>32.212472832010377</v>
      </c>
      <c r="R52" s="11">
        <v>33.213755536983363</v>
      </c>
      <c r="S52" s="11">
        <v>1.0012827049729662</v>
      </c>
      <c r="T52" s="12" t="str">
        <f>IF(       0.576&lt;0.01,"***",IF(       0.576&lt;0.05,"**",IF(       0.576&lt;0.1,"*","NS")))</f>
        <v>NS</v>
      </c>
    </row>
    <row r="53" spans="1:20" ht="15.75" customHeight="1">
      <c r="A53" s="15" t="s">
        <v>7</v>
      </c>
      <c r="B53" s="11">
        <v>44.075453128078948</v>
      </c>
      <c r="C53" s="11">
        <v>44.15282096582434</v>
      </c>
      <c r="D53" s="11">
        <v>7.736783774537738E-2</v>
      </c>
      <c r="E53" s="12" t="str">
        <f>IF(       0.947&lt;0.01,"***",IF(       0.947&lt;0.05,"**",IF(       0.947&lt;0.1,"*","NS")))</f>
        <v>NS</v>
      </c>
      <c r="G53" s="15" t="s">
        <v>7</v>
      </c>
      <c r="H53" s="11">
        <v>44.075453128078948</v>
      </c>
      <c r="I53" s="11">
        <v>45.869788956810901</v>
      </c>
      <c r="J53" s="11">
        <v>1.79433582873193</v>
      </c>
      <c r="K53" s="12" t="str">
        <f>IF(       0.184&lt;0.01,"***",IF(       0.184&lt;0.05,"**",IF(       0.184&lt;0.1,"*","NS")))</f>
        <v>NS</v>
      </c>
      <c r="L53" s="11">
        <v>41.092267217751157</v>
      </c>
      <c r="M53" s="11">
        <v>-2.9831859103277893</v>
      </c>
      <c r="N53" s="12" t="str">
        <f>IF(       0.112&lt;0.01,"***",IF(       0.112&lt;0.05,"**",IF(       0.112&lt;0.1,"*","NS")))</f>
        <v>NS</v>
      </c>
      <c r="P53" s="15" t="s">
        <v>7</v>
      </c>
      <c r="Q53" s="11">
        <v>44.530527398924349</v>
      </c>
      <c r="R53" s="11">
        <v>41.092267217751157</v>
      </c>
      <c r="S53" s="11">
        <v>-3.4382601811731974</v>
      </c>
      <c r="T53" s="12" t="str">
        <f>IF(       0.062&lt;0.01,"***",IF(       0.062&lt;0.05,"**",IF(       0.062&lt;0.1,"*","NS")))</f>
        <v>*</v>
      </c>
    </row>
    <row r="54" spans="1:20" ht="15.75" customHeight="1">
      <c r="A54" s="15" t="s">
        <v>8</v>
      </c>
      <c r="B54" s="11">
        <v>34.12571207935121</v>
      </c>
      <c r="C54" s="11">
        <v>34.06597649266871</v>
      </c>
      <c r="D54" s="11">
        <v>-5.9735586682498329E-2</v>
      </c>
      <c r="E54" s="12" t="str">
        <f>IF(       0.951&lt;0.01,"***",IF(       0.951&lt;0.05,"**",IF(       0.951&lt;0.1,"*","NS")))</f>
        <v>NS</v>
      </c>
      <c r="G54" s="15" t="s">
        <v>8</v>
      </c>
      <c r="H54" s="11">
        <v>34.12571207935121</v>
      </c>
      <c r="I54" s="11">
        <v>35.447644907003912</v>
      </c>
      <c r="J54" s="11">
        <v>1.3219328276526985</v>
      </c>
      <c r="K54" s="12" t="str">
        <f>IF(       0.209&lt;0.01,"***",IF(       0.209&lt;0.05,"**",IF(       0.209&lt;0.1,"*","NS")))</f>
        <v>NS</v>
      </c>
      <c r="L54" s="11">
        <v>31.2962538656659</v>
      </c>
      <c r="M54" s="11">
        <v>-2.8294582136853093</v>
      </c>
      <c r="N54" s="12" t="str">
        <f>IF(       0.066&lt;0.01,"***",IF(       0.066&lt;0.05,"**",IF(       0.066&lt;0.1,"*","NS")))</f>
        <v>*</v>
      </c>
      <c r="P54" s="15" t="s">
        <v>8</v>
      </c>
      <c r="Q54" s="11">
        <v>34.382180866661102</v>
      </c>
      <c r="R54" s="11">
        <v>31.2962538656659</v>
      </c>
      <c r="S54" s="11">
        <v>-3.0859270009952149</v>
      </c>
      <c r="T54" s="12" t="str">
        <f>IF(       0.042&lt;0.01,"***",IF(       0.042&lt;0.05,"**",IF(       0.042&lt;0.1,"*","NS")))</f>
        <v>**</v>
      </c>
    </row>
    <row r="55" spans="1:20" ht="15.75" customHeight="1">
      <c r="A55" s="15" t="s">
        <v>10</v>
      </c>
      <c r="B55" s="11">
        <v>36.884066720820293</v>
      </c>
      <c r="C55" s="11">
        <v>37.30944031366699</v>
      </c>
      <c r="D55" s="11">
        <v>0.42537359284668719</v>
      </c>
      <c r="E55" s="12" t="str">
        <f>IF(       0.52&lt;0.01,"***",IF(       0.52&lt;0.05,"**",IF(       0.52&lt;0.1,"*","NS")))</f>
        <v>NS</v>
      </c>
      <c r="G55" s="15" t="s">
        <v>10</v>
      </c>
      <c r="H55" s="11">
        <v>36.884066720820293</v>
      </c>
      <c r="I55" s="11">
        <v>38.016354654160502</v>
      </c>
      <c r="J55" s="11">
        <v>1.1322879333401958</v>
      </c>
      <c r="K55" s="12" t="str">
        <f>IF(       0.124&lt;0.01,"***",IF(       0.124&lt;0.05,"**",IF(       0.124&lt;0.1,"*","NS")))</f>
        <v>NS</v>
      </c>
      <c r="L55" s="11">
        <v>36.039679527075329</v>
      </c>
      <c r="M55" s="11">
        <v>-0.84438719374495042</v>
      </c>
      <c r="N55" s="12" t="str">
        <f>IF(       0.427&lt;0.01,"***",IF(       0.427&lt;0.05,"**",IF(       0.427&lt;0.1,"*","NS")))</f>
        <v>NS</v>
      </c>
      <c r="P55" s="15" t="s">
        <v>10</v>
      </c>
      <c r="Q55" s="11">
        <v>37.154792835085807</v>
      </c>
      <c r="R55" s="11">
        <v>36.039679527075329</v>
      </c>
      <c r="S55" s="11">
        <v>-1.1151133080105249</v>
      </c>
      <c r="T55" s="12" t="str">
        <f>IF(       0.284&lt;0.01,"***",IF(       0.284&lt;0.05,"**",IF(       0.284&lt;0.1,"*","NS")))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257</v>
      </c>
      <c r="G1" s="15" t="s">
        <v>258</v>
      </c>
      <c r="P1" s="15" t="s">
        <v>259</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98.788656675229078</v>
      </c>
      <c r="C3" s="11">
        <v>98.696878914602848</v>
      </c>
      <c r="D3" s="11">
        <v>-9.1777760626242585E-2</v>
      </c>
      <c r="E3" s="12" t="str">
        <f>IF(       0.798&lt;0.01,"***",IF(       0.798&lt;0.05,"**",IF(       0.798&lt;0.1,"*","NS")))</f>
        <v>NS</v>
      </c>
      <c r="G3" s="15" t="s">
        <v>5</v>
      </c>
      <c r="H3" s="11">
        <v>98.788656675229078</v>
      </c>
      <c r="I3" s="11">
        <v>98.887994662695291</v>
      </c>
      <c r="J3" s="11">
        <v>9.933798746620405E-2</v>
      </c>
      <c r="K3" s="12" t="str">
        <f>IF(       0.864&lt;0.01,"***",IF(       0.864&lt;0.05,"**",IF(       0.864&lt;0.1,"*","NS")))</f>
        <v>NS</v>
      </c>
      <c r="L3" s="11">
        <v>98.407802112320354</v>
      </c>
      <c r="M3" s="11">
        <v>-0.38085456290872088</v>
      </c>
      <c r="N3" s="12" t="str">
        <f>IF(       0.518&lt;0.01,"***",IF(       0.518&lt;0.05,"**",IF(       0.518&lt;0.1,"*","NS")))</f>
        <v>NS</v>
      </c>
      <c r="P3" s="15" t="s">
        <v>5</v>
      </c>
      <c r="Q3" s="11">
        <v>98.7977521054747</v>
      </c>
      <c r="R3" s="11">
        <v>98.407802112320354</v>
      </c>
      <c r="S3" s="11">
        <v>-0.38994999315431844</v>
      </c>
      <c r="T3" s="12" t="str">
        <f>IF(       0.52&lt;0.01,"***",IF(       0.52&lt;0.05,"**",IF(       0.52&lt;0.1,"*","NS")))</f>
        <v>NS</v>
      </c>
    </row>
    <row r="4" spans="1:20">
      <c r="A4" s="15" t="s">
        <v>6</v>
      </c>
      <c r="B4" s="11">
        <v>97.502614654156687</v>
      </c>
      <c r="C4" s="11">
        <v>96.758570087507564</v>
      </c>
      <c r="D4" s="11">
        <v>-0.74404456664909957</v>
      </c>
      <c r="E4" s="12" t="str">
        <f>IF(       0.288&lt;0.01,"***",IF(       0.288&lt;0.05,"**",IF(       0.288&lt;0.1,"*","NS")))</f>
        <v>NS</v>
      </c>
      <c r="G4" s="15" t="s">
        <v>6</v>
      </c>
      <c r="H4" s="11">
        <v>97.502614654156687</v>
      </c>
      <c r="I4" s="11">
        <v>96.055515092515137</v>
      </c>
      <c r="J4" s="11">
        <v>-1.447099561641497</v>
      </c>
      <c r="K4" s="12" t="str">
        <f>IF(       0.123&lt;0.01,"***",IF(       0.123&lt;0.05,"**",IF(       0.123&lt;0.1,"*","NS")))</f>
        <v>NS</v>
      </c>
      <c r="L4" s="11">
        <v>98.551927845396563</v>
      </c>
      <c r="M4" s="11">
        <v>1.0493131912398721</v>
      </c>
      <c r="N4" s="12" t="str">
        <f>IF(       0.28&lt;0.01,"***",IF(       0.28&lt;0.05,"**",IF(       0.28&lt;0.1,"*","NS")))</f>
        <v>NS</v>
      </c>
      <c r="P4" s="15" t="s">
        <v>6</v>
      </c>
      <c r="Q4" s="11">
        <v>97.366459700102993</v>
      </c>
      <c r="R4" s="11">
        <v>98.551927845396563</v>
      </c>
      <c r="S4" s="11">
        <v>1.1854681452935825</v>
      </c>
      <c r="T4" s="12" t="str">
        <f>IF(       0.229&lt;0.01,"***",IF(       0.229&lt;0.05,"**",IF(       0.229&lt;0.1,"*","NS")))</f>
        <v>NS</v>
      </c>
    </row>
    <row r="5" spans="1:20">
      <c r="A5" s="15" t="s">
        <v>7</v>
      </c>
      <c r="B5" s="11">
        <v>98.854505575896312</v>
      </c>
      <c r="C5" s="11">
        <v>98.768794271231101</v>
      </c>
      <c r="D5" s="11">
        <v>-8.5711304665214594E-2</v>
      </c>
      <c r="E5" s="12" t="str">
        <f>IF(       0.909&lt;0.01,"***",IF(       0.909&lt;0.05,"**",IF(       0.909&lt;0.1,"*","NS")))</f>
        <v>NS</v>
      </c>
      <c r="G5" s="15" t="s">
        <v>7</v>
      </c>
      <c r="H5" s="11">
        <v>98.854505575896312</v>
      </c>
      <c r="I5" s="11">
        <v>98.703956077677361</v>
      </c>
      <c r="J5" s="11">
        <v>-0.15054949821894897</v>
      </c>
      <c r="K5" s="12" t="str">
        <f>IF(       0.883&lt;0.01,"***",IF(       0.883&lt;0.05,"**",IF(       0.883&lt;0.1,"*","NS")))</f>
        <v>NS</v>
      </c>
      <c r="L5" s="11">
        <v>98.917016429908259</v>
      </c>
      <c r="M5" s="11">
        <v>6.2510854011965489E-2</v>
      </c>
      <c r="N5" s="12" t="str">
        <f>IF(       0.944&lt;0.01,"***",IF(       0.944&lt;0.05,"**",IF(       0.944&lt;0.1,"*","NS")))</f>
        <v>NS</v>
      </c>
      <c r="P5" s="15" t="s">
        <v>7</v>
      </c>
      <c r="Q5" s="11">
        <v>98.836840409469488</v>
      </c>
      <c r="R5" s="11">
        <v>98.917016429908259</v>
      </c>
      <c r="S5" s="11">
        <v>8.0176020438772602E-2</v>
      </c>
      <c r="T5" s="12" t="str">
        <f>IF(       0.93&lt;0.01,"***",IF(       0.93&lt;0.05,"**",IF(       0.93&lt;0.1,"*","NS")))</f>
        <v>NS</v>
      </c>
    </row>
    <row r="6" spans="1:20">
      <c r="A6" s="15" t="s">
        <v>8</v>
      </c>
      <c r="B6" s="11">
        <v>95.973445132550623</v>
      </c>
      <c r="C6" s="11">
        <v>92.648532833661804</v>
      </c>
      <c r="D6" s="11">
        <v>-3.3249122988886586</v>
      </c>
      <c r="E6" s="12" t="str">
        <f>IF(       0.006&lt;0.01,"***",IF(       0.006&lt;0.05,"**",IF(       0.006&lt;0.1,"*","NS")))</f>
        <v>***</v>
      </c>
      <c r="G6" s="15" t="s">
        <v>8</v>
      </c>
      <c r="H6" s="11">
        <v>95.973445132550623</v>
      </c>
      <c r="I6" s="11">
        <v>94.554159817699528</v>
      </c>
      <c r="J6" s="11">
        <v>-1.4192853148511153</v>
      </c>
      <c r="K6" s="12" t="str">
        <f>IF(       0.144&lt;0.01,"***",IF(       0.144&lt;0.05,"**",IF(       0.144&lt;0.1,"*","NS")))</f>
        <v>NS</v>
      </c>
      <c r="L6" s="11">
        <v>88.110511569571884</v>
      </c>
      <c r="M6" s="11">
        <v>-7.8629335629786361</v>
      </c>
      <c r="N6" s="12" t="str">
        <f>IF(       0.001&lt;0.01,"***",IF(       0.001&lt;0.05,"**",IF(       0.001&lt;0.1,"*","NS")))</f>
        <v>***</v>
      </c>
      <c r="P6" s="15" t="s">
        <v>8</v>
      </c>
      <c r="Q6" s="11">
        <v>95.844543764209945</v>
      </c>
      <c r="R6" s="11">
        <v>88.110511569571884</v>
      </c>
      <c r="S6" s="11">
        <v>-7.7340321946379049</v>
      </c>
      <c r="T6" s="12" t="str">
        <f>IF(       0.001&lt;0.01,"***",IF(       0.001&lt;0.05,"**",IF(       0.001&lt;0.1,"*","NS")))</f>
        <v>***</v>
      </c>
    </row>
    <row r="7" spans="1:20">
      <c r="A7" s="15" t="s">
        <v>10</v>
      </c>
      <c r="B7" s="11">
        <v>98.168181930904424</v>
      </c>
      <c r="C7" s="11">
        <v>97.675292147165237</v>
      </c>
      <c r="D7" s="11">
        <v>-0.49288978373917391</v>
      </c>
      <c r="E7" s="12" t="str">
        <f>IF(       0.195&lt;0.01,"***",IF(       0.195&lt;0.05,"**",IF(       0.195&lt;0.1,"*","NS")))</f>
        <v>NS</v>
      </c>
      <c r="G7" s="15" t="s">
        <v>10</v>
      </c>
      <c r="H7" s="11">
        <v>98.168181930904424</v>
      </c>
      <c r="I7" s="11">
        <v>97.785833884973627</v>
      </c>
      <c r="J7" s="11">
        <v>-0.3823480459307822</v>
      </c>
      <c r="K7" s="12" t="str">
        <f>IF(       0.462&lt;0.01,"***",IF(       0.462&lt;0.05,"**",IF(       0.462&lt;0.1,"*","NS")))</f>
        <v>NS</v>
      </c>
      <c r="L7" s="11">
        <v>97.447420771318363</v>
      </c>
      <c r="M7" s="11">
        <v>-0.72076115958604714</v>
      </c>
      <c r="N7" s="12" t="str">
        <f>IF(       0.167&lt;0.01,"***",IF(       0.167&lt;0.05,"**",IF(       0.167&lt;0.1,"*","NS")))</f>
        <v>NS</v>
      </c>
      <c r="P7" s="15" t="s">
        <v>10</v>
      </c>
      <c r="Q7" s="11">
        <v>98.129141878736135</v>
      </c>
      <c r="R7" s="11">
        <v>97.447420771318363</v>
      </c>
      <c r="S7" s="11">
        <v>-0.68172110741770275</v>
      </c>
      <c r="T7" s="12" t="str">
        <f>IF(       0.196&lt;0.01,"***",IF(       0.196&lt;0.05,"**",IF(       0.196&lt;0.1,"*","NS")))</f>
        <v>NS</v>
      </c>
    </row>
    <row r="9" spans="1:20">
      <c r="A9" s="15" t="s">
        <v>260</v>
      </c>
      <c r="G9" s="15" t="s">
        <v>261</v>
      </c>
      <c r="P9" s="15" t="s">
        <v>262</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98.878435612757499</v>
      </c>
      <c r="C11" s="11">
        <v>99.046781037205008</v>
      </c>
      <c r="D11" s="11">
        <v>0.16834542444750653</v>
      </c>
      <c r="E11" s="12" t="str">
        <f>IF(       0.606&lt;0.01,"***",IF(       0.606&lt;0.05,"**",IF(       0.606&lt;0.1,"*","NS")))</f>
        <v>NS</v>
      </c>
      <c r="G11" s="15" t="s">
        <v>5</v>
      </c>
      <c r="H11" s="11">
        <v>98.878435612757499</v>
      </c>
      <c r="I11" s="11">
        <v>99.128082477953157</v>
      </c>
      <c r="J11" s="11">
        <v>0.2496468651956579</v>
      </c>
      <c r="K11" s="12" t="str">
        <f>IF(       0.583&lt;0.01,"***",IF(       0.583&lt;0.05,"**",IF(       0.583&lt;0.1,"*","NS")))</f>
        <v>NS</v>
      </c>
      <c r="L11" s="11">
        <v>98.921544809722235</v>
      </c>
      <c r="M11" s="11">
        <v>4.3109196964730999E-2</v>
      </c>
      <c r="N11" s="12" t="str">
        <f>IF(       0.959&lt;0.01,"***",IF(       0.959&lt;0.05,"**",IF(       0.959&lt;0.1,"*","NS")))</f>
        <v>NS</v>
      </c>
      <c r="P11" s="15" t="s">
        <v>5</v>
      </c>
      <c r="Q11" s="11">
        <v>98.901036253712121</v>
      </c>
      <c r="R11" s="11">
        <v>98.921544809722235</v>
      </c>
      <c r="S11" s="11">
        <v>2.0508556010135008E-2</v>
      </c>
      <c r="T11" s="12" t="str">
        <f>IF(       0.981&lt;0.01,"***",IF(       0.981&lt;0.05,"**",IF(       0.981&lt;0.1,"*","NS")))</f>
        <v>NS</v>
      </c>
    </row>
    <row r="12" spans="1:20">
      <c r="A12" s="15" t="s">
        <v>6</v>
      </c>
      <c r="B12" s="11">
        <v>97.316794964771702</v>
      </c>
      <c r="C12" s="11">
        <v>96.218155191272558</v>
      </c>
      <c r="D12" s="11">
        <v>-1.0986397734991353</v>
      </c>
      <c r="E12" s="12" t="str">
        <f>IF(       0.251&lt;0.01,"***",IF(       0.251&lt;0.05,"**",IF(       0.251&lt;0.1,"*","NS")))</f>
        <v>NS</v>
      </c>
      <c r="G12" s="15" t="s">
        <v>6</v>
      </c>
      <c r="H12" s="11">
        <v>97.316794964771702</v>
      </c>
      <c r="I12" s="11">
        <v>94.836452627115122</v>
      </c>
      <c r="J12" s="11">
        <v>-2.4803423376565754</v>
      </c>
      <c r="K12" s="12" t="str">
        <f>IF(       0.054&lt;0.01,"***",IF(       0.054&lt;0.05,"**",IF(       0.054&lt;0.1,"*","NS")))</f>
        <v>*</v>
      </c>
      <c r="L12" s="11">
        <v>100</v>
      </c>
      <c r="M12" s="11">
        <v>2.683205035228267</v>
      </c>
      <c r="N12" s="12" t="str">
        <f>IF(       0&lt;0.01,"***",IF(       0&lt;0.05,"**",IF(       0&lt;0.1,"*","NS")))</f>
        <v>***</v>
      </c>
      <c r="P12" s="15" t="s">
        <v>6</v>
      </c>
      <c r="Q12" s="11">
        <v>97.092211267699952</v>
      </c>
      <c r="R12" s="11">
        <v>100</v>
      </c>
      <c r="S12" s="11">
        <v>2.9077887323000744</v>
      </c>
      <c r="T12" s="12" t="str">
        <f>IF(       0&lt;0.01,"***",IF(       0&lt;0.05,"**",IF(       0&lt;0.1,"*","NS")))</f>
        <v>***</v>
      </c>
    </row>
    <row r="13" spans="1:20">
      <c r="A13" s="15" t="s">
        <v>7</v>
      </c>
      <c r="B13" s="11">
        <v>98.868746208328062</v>
      </c>
      <c r="C13" s="11">
        <v>99.089114455650218</v>
      </c>
      <c r="D13" s="11">
        <v>0.22036824732216587</v>
      </c>
      <c r="E13" s="12" t="str">
        <f>IF(       0.671&lt;0.01,"***",IF(       0.671&lt;0.05,"**",IF(       0.671&lt;0.1,"*","NS")))</f>
        <v>NS</v>
      </c>
      <c r="G13" s="15" t="s">
        <v>7</v>
      </c>
      <c r="H13" s="11">
        <v>98.868746208328062</v>
      </c>
      <c r="I13" s="11">
        <v>99.272975301043971</v>
      </c>
      <c r="J13" s="11">
        <v>0.40422909271590846</v>
      </c>
      <c r="K13" s="12" t="str">
        <f>IF(       0.44&lt;0.01,"***",IF(       0.44&lt;0.05,"**",IF(       0.44&lt;0.1,"*","NS")))</f>
        <v>NS</v>
      </c>
      <c r="L13" s="11">
        <v>98.620597493771527</v>
      </c>
      <c r="M13" s="11">
        <v>-0.24814871455652296</v>
      </c>
      <c r="N13" s="12" t="str">
        <f>IF(       0.858&lt;0.01,"***",IF(       0.858&lt;0.05,"**",IF(       0.858&lt;0.1,"*","NS")))</f>
        <v>NS</v>
      </c>
      <c r="P13" s="15" t="s">
        <v>7</v>
      </c>
      <c r="Q13" s="11">
        <v>98.924520285101124</v>
      </c>
      <c r="R13" s="11">
        <v>98.620597493771527</v>
      </c>
      <c r="S13" s="11">
        <v>-0.30392279132959893</v>
      </c>
      <c r="T13" s="12" t="str">
        <f>IF(       0.828&lt;0.01,"***",IF(       0.828&lt;0.05,"**",IF(       0.828&lt;0.1,"*","NS")))</f>
        <v>NS</v>
      </c>
    </row>
    <row r="14" spans="1:20">
      <c r="A14" s="15" t="s">
        <v>8</v>
      </c>
      <c r="B14" s="11">
        <v>95.940200849817714</v>
      </c>
      <c r="C14" s="11">
        <v>94.490124004480279</v>
      </c>
      <c r="D14" s="11">
        <v>-1.4500768453374617</v>
      </c>
      <c r="E14" s="12" t="str">
        <f>IF(       0.204&lt;0.01,"***",IF(       0.204&lt;0.05,"**",IF(       0.204&lt;0.1,"*","NS")))</f>
        <v>NS</v>
      </c>
      <c r="G14" s="15" t="s">
        <v>8</v>
      </c>
      <c r="H14" s="11">
        <v>95.940200849817714</v>
      </c>
      <c r="I14" s="11">
        <v>96.380128880132332</v>
      </c>
      <c r="J14" s="11">
        <v>0.43992803031462935</v>
      </c>
      <c r="K14" s="12" t="str">
        <f>IF(       0.666&lt;0.01,"***",IF(       0.666&lt;0.05,"**",IF(       0.666&lt;0.1,"*","NS")))</f>
        <v>NS</v>
      </c>
      <c r="L14" s="11">
        <v>89.714237901410399</v>
      </c>
      <c r="M14" s="11">
        <v>-6.2259629484074042</v>
      </c>
      <c r="N14" s="12" t="str">
        <f>IF(       0.058&lt;0.01,"***",IF(       0.058&lt;0.05,"**",IF(       0.058&lt;0.1,"*","NS")))</f>
        <v>*</v>
      </c>
      <c r="P14" s="15" t="s">
        <v>8</v>
      </c>
      <c r="Q14" s="11">
        <v>95.979965065161736</v>
      </c>
      <c r="R14" s="11">
        <v>89.714237901410399</v>
      </c>
      <c r="S14" s="11">
        <v>-6.2657271637514196</v>
      </c>
      <c r="T14" s="12" t="str">
        <f>IF(       0.057&lt;0.01,"***",IF(       0.057&lt;0.05,"**",IF(       0.057&lt;0.1,"*","NS")))</f>
        <v>*</v>
      </c>
    </row>
    <row r="15" spans="1:20">
      <c r="A15" s="15" t="s">
        <v>10</v>
      </c>
      <c r="B15" s="11">
        <v>98.174518654701785</v>
      </c>
      <c r="C15" s="11">
        <v>98.169573898363339</v>
      </c>
      <c r="D15" s="11">
        <v>-4.9447563384514082E-3</v>
      </c>
      <c r="E15" s="12" t="str">
        <f>IF(       0.987&lt;0.01,"***",IF(       0.987&lt;0.05,"**",IF(       0.987&lt;0.1,"*","NS")))</f>
        <v>NS</v>
      </c>
      <c r="G15" s="15" t="s">
        <v>10</v>
      </c>
      <c r="H15" s="11">
        <v>98.174518654701785</v>
      </c>
      <c r="I15" s="11">
        <v>98.258847581026174</v>
      </c>
      <c r="J15" s="11">
        <v>8.4328926324381631E-2</v>
      </c>
      <c r="K15" s="12" t="str">
        <f>IF(       0.81&lt;0.01,"***",IF(       0.81&lt;0.05,"**",IF(       0.81&lt;0.1,"*","NS")))</f>
        <v>NS</v>
      </c>
      <c r="L15" s="11">
        <v>97.972377537727397</v>
      </c>
      <c r="M15" s="11">
        <v>-0.20214111697438228</v>
      </c>
      <c r="N15" s="12" t="str">
        <f>IF(       0.788&lt;0.01,"***",IF(       0.788&lt;0.05,"**",IF(       0.788&lt;0.1,"*","NS")))</f>
        <v>NS</v>
      </c>
      <c r="P15" s="15" t="s">
        <v>10</v>
      </c>
      <c r="Q15" s="11">
        <v>98.183698878707801</v>
      </c>
      <c r="R15" s="11">
        <v>97.972377537727397</v>
      </c>
      <c r="S15" s="11">
        <v>-0.21132134098042657</v>
      </c>
      <c r="T15" s="12" t="str">
        <f>IF(       0.78&lt;0.01,"***",IF(       0.78&lt;0.05,"**",IF(       0.78&lt;0.1,"*","NS")))</f>
        <v>NS</v>
      </c>
    </row>
    <row r="17" spans="1:20">
      <c r="A17" s="15" t="s">
        <v>263</v>
      </c>
      <c r="G17" s="15" t="s">
        <v>264</v>
      </c>
      <c r="P17" s="15" t="s">
        <v>265</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98.655235446966273</v>
      </c>
      <c r="C19" s="11">
        <v>98.201346299107897</v>
      </c>
      <c r="D19" s="11">
        <v>-0.45388914785837775</v>
      </c>
      <c r="E19" s="12" t="str">
        <f>IF(       0.564&lt;0.01,"***",IF(       0.564&lt;0.05,"**",IF(       0.564&lt;0.1,"*","NS")))</f>
        <v>NS</v>
      </c>
      <c r="G19" s="15" t="s">
        <v>5</v>
      </c>
      <c r="H19" s="11">
        <v>98.655235446966273</v>
      </c>
      <c r="I19" s="11">
        <v>98.541972036894677</v>
      </c>
      <c r="J19" s="11">
        <v>-0.11326341007160555</v>
      </c>
      <c r="K19" s="12" t="str">
        <f>IF(       0.909&lt;0.01,"***",IF(       0.909&lt;0.05,"**",IF(       0.909&lt;0.1,"*","NS")))</f>
        <v>NS</v>
      </c>
      <c r="L19" s="11">
        <v>97.699194713156302</v>
      </c>
      <c r="M19" s="11">
        <v>-0.95604073380995924</v>
      </c>
      <c r="N19" s="12" t="str">
        <f>IF(       0.41&lt;0.01,"***",IF(       0.41&lt;0.05,"**",IF(       0.41&lt;0.1,"*","NS")))</f>
        <v>NS</v>
      </c>
      <c r="P19" s="15" t="s">
        <v>5</v>
      </c>
      <c r="Q19" s="11">
        <v>98.64469211440445</v>
      </c>
      <c r="R19" s="11">
        <v>97.699194713156302</v>
      </c>
      <c r="S19" s="11">
        <v>-0.94549740124817439</v>
      </c>
      <c r="T19" s="12" t="str">
        <f>IF(       0.413&lt;0.01,"***",IF(       0.413&lt;0.05,"**",IF(       0.413&lt;0.1,"*","NS")))</f>
        <v>NS</v>
      </c>
    </row>
    <row r="20" spans="1:20">
      <c r="A20" s="15" t="s">
        <v>6</v>
      </c>
      <c r="B20" s="11">
        <v>97.764029003653206</v>
      </c>
      <c r="C20" s="11">
        <v>97.417941018875453</v>
      </c>
      <c r="D20" s="11">
        <v>-0.34608798477774583</v>
      </c>
      <c r="E20" s="12" t="str">
        <f>IF(       0.678&lt;0.01,"***",IF(       0.678&lt;0.05,"**",IF(       0.678&lt;0.1,"*","NS")))</f>
        <v>NS</v>
      </c>
      <c r="G20" s="15" t="s">
        <v>6</v>
      </c>
      <c r="H20" s="11">
        <v>97.764029003653206</v>
      </c>
      <c r="I20" s="11">
        <v>97.609024412842331</v>
      </c>
      <c r="J20" s="11">
        <v>-0.15500459081087606</v>
      </c>
      <c r="K20" s="12" t="str">
        <f>IF(       0.892&lt;0.01,"***",IF(       0.892&lt;0.05,"**",IF(       0.892&lt;0.1,"*","NS")))</f>
        <v>NS</v>
      </c>
      <c r="L20" s="11">
        <v>96.969424248862964</v>
      </c>
      <c r="M20" s="11">
        <v>-0.79460475479023107</v>
      </c>
      <c r="N20" s="12" t="str">
        <f>IF(       0.695&lt;0.01,"***",IF(       0.695&lt;0.05,"**",IF(       0.695&lt;0.1,"*","NS")))</f>
        <v>NS</v>
      </c>
      <c r="P20" s="15" t="s">
        <v>6</v>
      </c>
      <c r="Q20" s="11">
        <v>97.748679569713872</v>
      </c>
      <c r="R20" s="11">
        <v>96.969424248862964</v>
      </c>
      <c r="S20" s="11">
        <v>-0.77925532085087512</v>
      </c>
      <c r="T20" s="12" t="str">
        <f>IF(       0.706&lt;0.01,"***",IF(       0.706&lt;0.05,"**",IF(       0.706&lt;0.1,"*","NS")))</f>
        <v>NS</v>
      </c>
    </row>
    <row r="21" spans="1:20" ht="15.75" customHeight="1">
      <c r="A21" s="15" t="s">
        <v>7</v>
      </c>
      <c r="B21" s="11">
        <v>98.837709351763394</v>
      </c>
      <c r="C21" s="11">
        <v>98.220591246837515</v>
      </c>
      <c r="D21" s="11">
        <v>-0.61711810492589092</v>
      </c>
      <c r="E21" s="12" t="str">
        <f>IF(       0.655&lt;0.01,"***",IF(       0.655&lt;0.05,"**",IF(       0.655&lt;0.1,"*","NS")))</f>
        <v>NS</v>
      </c>
      <c r="G21" s="15" t="s">
        <v>7</v>
      </c>
      <c r="H21" s="11">
        <v>98.837709351763394</v>
      </c>
      <c r="I21" s="11">
        <v>97.639778064499978</v>
      </c>
      <c r="J21" s="11">
        <v>-1.197931287263422</v>
      </c>
      <c r="K21" s="12" t="str">
        <f>IF(       0.554&lt;0.01,"***",IF(       0.554&lt;0.05,"**",IF(       0.554&lt;0.1,"*","NS")))</f>
        <v>NS</v>
      </c>
      <c r="L21" s="11">
        <v>99.334086656619007</v>
      </c>
      <c r="M21" s="11">
        <v>0.49637730485561654</v>
      </c>
      <c r="N21" s="12" t="str">
        <f>IF(       0.553&lt;0.01,"***",IF(       0.553&lt;0.05,"**",IF(       0.553&lt;0.1,"*","NS")))</f>
        <v>NS</v>
      </c>
      <c r="P21" s="15" t="s">
        <v>7</v>
      </c>
      <c r="Q21" s="11">
        <v>98.727872678285507</v>
      </c>
      <c r="R21" s="11">
        <v>99.334086656619007</v>
      </c>
      <c r="S21" s="11">
        <v>0.60621397833351132</v>
      </c>
      <c r="T21" s="12" t="str">
        <f>IF(       0.474&lt;0.01,"***",IF(       0.474&lt;0.05,"**",IF(       0.474&lt;0.1,"*","NS")))</f>
        <v>NS</v>
      </c>
    </row>
    <row r="22" spans="1:20" ht="15.75" customHeight="1">
      <c r="A22" s="15" t="s">
        <v>8</v>
      </c>
      <c r="B22" s="11">
        <v>96.012117514983572</v>
      </c>
      <c r="C22" s="11">
        <v>90.606491902892145</v>
      </c>
      <c r="D22" s="11">
        <v>-5.405625612091419</v>
      </c>
      <c r="E22" s="12" t="str">
        <f>IF(       0.003&lt;0.01,"***",IF(       0.003&lt;0.05,"**",IF(       0.003&lt;0.1,"*","NS")))</f>
        <v>***</v>
      </c>
      <c r="G22" s="15" t="s">
        <v>8</v>
      </c>
      <c r="H22" s="11">
        <v>96.012117514983572</v>
      </c>
      <c r="I22" s="11">
        <v>92.454003948556675</v>
      </c>
      <c r="J22" s="11">
        <v>-3.558113566426961</v>
      </c>
      <c r="K22" s="12" t="str">
        <f>IF(       0.057&lt;0.01,"***",IF(       0.057&lt;0.05,"**",IF(       0.057&lt;0.1,"*","NS")))</f>
        <v>*</v>
      </c>
      <c r="L22" s="11">
        <v>86.480203752440588</v>
      </c>
      <c r="M22" s="11">
        <v>-9.5319137625430663</v>
      </c>
      <c r="N22" s="12" t="str">
        <f>IF(       0.002&lt;0.01,"***",IF(       0.002&lt;0.05,"**",IF(       0.002&lt;0.1,"*","NS")))</f>
        <v>***</v>
      </c>
      <c r="P22" s="15" t="s">
        <v>8</v>
      </c>
      <c r="Q22" s="11">
        <v>95.687173236590297</v>
      </c>
      <c r="R22" s="11">
        <v>86.480203752440588</v>
      </c>
      <c r="S22" s="11">
        <v>-9.2069694841500667</v>
      </c>
      <c r="T22" s="12" t="str">
        <f>IF(       0.002&lt;0.01,"***",IF(       0.002&lt;0.05,"**",IF(       0.002&lt;0.1,"*","NS")))</f>
        <v>***</v>
      </c>
    </row>
    <row r="23" spans="1:20" ht="15.75" customHeight="1">
      <c r="A23" s="15" t="s">
        <v>10</v>
      </c>
      <c r="B23" s="11">
        <v>98.159974110107626</v>
      </c>
      <c r="C23" s="11">
        <v>96.955117233083584</v>
      </c>
      <c r="D23" s="11">
        <v>-1.2048568770240462</v>
      </c>
      <c r="E23" s="12" t="str">
        <f>IF(       0.072&lt;0.01,"***",IF(       0.072&lt;0.05,"**",IF(       0.072&lt;0.1,"*","NS")))</f>
        <v>*</v>
      </c>
      <c r="G23" s="15" t="s">
        <v>10</v>
      </c>
      <c r="H23" s="11">
        <v>98.159974110107626</v>
      </c>
      <c r="I23" s="11">
        <v>97.057622564560532</v>
      </c>
      <c r="J23" s="11">
        <v>-1.1023515455471051</v>
      </c>
      <c r="K23" s="12" t="str">
        <f>IF(       0.233&lt;0.01,"***",IF(       0.233&lt;0.05,"**",IF(       0.233&lt;0.1,"*","NS")))</f>
        <v>NS</v>
      </c>
      <c r="L23" s="11">
        <v>96.763508654186055</v>
      </c>
      <c r="M23" s="11">
        <v>-1.3964654559215957</v>
      </c>
      <c r="N23" s="12" t="str">
        <f>IF(       0.058&lt;0.01,"***",IF(       0.058&lt;0.05,"**",IF(       0.058&lt;0.1,"*","NS")))</f>
        <v>*</v>
      </c>
      <c r="P23" s="15" t="s">
        <v>10</v>
      </c>
      <c r="Q23" s="11">
        <v>98.057233493738821</v>
      </c>
      <c r="R23" s="11">
        <v>96.763508654186055</v>
      </c>
      <c r="S23" s="11">
        <v>-1.29372483955283</v>
      </c>
      <c r="T23" s="12" t="str">
        <f>IF(       0.078&lt;0.01,"***",IF(       0.078&lt;0.05,"**",IF(       0.078&lt;0.1,"*","NS")))</f>
        <v>*</v>
      </c>
    </row>
    <row r="24" spans="1:20" ht="15.75" customHeight="1"/>
    <row r="25" spans="1:20" ht="15.75" customHeight="1">
      <c r="A25" s="15" t="s">
        <v>266</v>
      </c>
      <c r="G25" s="15" t="s">
        <v>267</v>
      </c>
      <c r="P25" s="15" t="s">
        <v>268</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98.56209981862439</v>
      </c>
      <c r="C27" s="11">
        <v>98.36116114564507</v>
      </c>
      <c r="D27" s="11">
        <v>-0.20093867297932277</v>
      </c>
      <c r="E27" s="12" t="str">
        <f>IF(       0.656&lt;0.01,"***",IF(       0.656&lt;0.05,"**",IF(       0.656&lt;0.1,"*","NS")))</f>
        <v>NS</v>
      </c>
      <c r="G27" s="15" t="s">
        <v>5</v>
      </c>
      <c r="H27" s="11">
        <v>98.56209981862439</v>
      </c>
      <c r="I27" s="11">
        <v>98.588717316593204</v>
      </c>
      <c r="J27" s="11">
        <v>2.6617497968826256E-2</v>
      </c>
      <c r="K27" s="12" t="str">
        <f>IF(       0.971&lt;0.01,"***",IF(       0.971&lt;0.05,"**",IF(       0.971&lt;0.1,"*","NS")))</f>
        <v>NS</v>
      </c>
      <c r="L27" s="11">
        <v>98.024700612040149</v>
      </c>
      <c r="M27" s="11">
        <v>-0.53739920658428475</v>
      </c>
      <c r="N27" s="12" t="str">
        <f>IF(       0.464&lt;0.01,"***",IF(       0.464&lt;0.05,"**",IF(       0.464&lt;0.1,"*","NS")))</f>
        <v>NS</v>
      </c>
      <c r="P27" s="15" t="s">
        <v>5</v>
      </c>
      <c r="Q27" s="11">
        <v>98.564506583563002</v>
      </c>
      <c r="R27" s="11">
        <v>98.024700612040149</v>
      </c>
      <c r="S27" s="11">
        <v>-0.53980597152284471</v>
      </c>
      <c r="T27" s="12" t="str">
        <f>IF(       0.474&lt;0.01,"***",IF(       0.474&lt;0.05,"**",IF(       0.474&lt;0.1,"*","NS")))</f>
        <v>NS</v>
      </c>
    </row>
    <row r="28" spans="1:20" ht="15.75" customHeight="1">
      <c r="A28" s="15" t="s">
        <v>6</v>
      </c>
      <c r="B28" s="11">
        <v>97.051588091322259</v>
      </c>
      <c r="C28" s="11">
        <v>96.060268616887612</v>
      </c>
      <c r="D28" s="11">
        <v>-0.99131947443466517</v>
      </c>
      <c r="E28" s="12" t="str">
        <f>IF(       0.293&lt;0.01,"***",IF(       0.293&lt;0.05,"**",IF(       0.293&lt;0.1,"*","NS")))</f>
        <v>NS</v>
      </c>
      <c r="G28" s="15" t="s">
        <v>6</v>
      </c>
      <c r="H28" s="11">
        <v>97.051588091322259</v>
      </c>
      <c r="I28" s="11">
        <v>95.181208866928714</v>
      </c>
      <c r="J28" s="11">
        <v>-1.8703792243936079</v>
      </c>
      <c r="K28" s="12" t="str">
        <f>IF(       0.154&lt;0.01,"***",IF(       0.154&lt;0.05,"**",IF(       0.154&lt;0.1,"*","NS")))</f>
        <v>NS</v>
      </c>
      <c r="L28" s="11">
        <v>98.056527153891125</v>
      </c>
      <c r="M28" s="11">
        <v>1.0049390625688841</v>
      </c>
      <c r="N28" s="12" t="str">
        <f>IF(       0.441&lt;0.01,"***",IF(       0.441&lt;0.05,"**",IF(       0.441&lt;0.1,"*","NS")))</f>
        <v>NS</v>
      </c>
      <c r="P28" s="15" t="s">
        <v>6</v>
      </c>
      <c r="Q28" s="11">
        <v>96.883021811130362</v>
      </c>
      <c r="R28" s="11">
        <v>98.056527153891125</v>
      </c>
      <c r="S28" s="11">
        <v>1.1735053427607327</v>
      </c>
      <c r="T28" s="12" t="str">
        <f>IF(       0.377&lt;0.01,"***",IF(       0.377&lt;0.05,"**",IF(       0.377&lt;0.1,"*","NS")))</f>
        <v>NS</v>
      </c>
    </row>
    <row r="29" spans="1:20" ht="15.75" customHeight="1">
      <c r="A29" s="15" t="s">
        <v>7</v>
      </c>
      <c r="B29" s="11">
        <v>98.492698402272026</v>
      </c>
      <c r="C29" s="11">
        <v>98.584383862865877</v>
      </c>
      <c r="D29" s="11">
        <v>9.1685460593846357E-2</v>
      </c>
      <c r="E29" s="12" t="str">
        <f>IF(       0.917&lt;0.01,"***",IF(       0.917&lt;0.05,"**",IF(       0.917&lt;0.1,"*","NS")))</f>
        <v>NS</v>
      </c>
      <c r="G29" s="15" t="s">
        <v>7</v>
      </c>
      <c r="H29" s="11">
        <v>98.492698402272026</v>
      </c>
      <c r="I29" s="11">
        <v>98.538789828205438</v>
      </c>
      <c r="J29" s="11">
        <v>4.6091425933405109E-2</v>
      </c>
      <c r="K29" s="12" t="str">
        <f>IF(       0.953&lt;0.01,"***",IF(       0.953&lt;0.05,"**",IF(       0.953&lt;0.1,"*","NS")))</f>
        <v>NS</v>
      </c>
      <c r="L29" s="11">
        <v>98.669823153020786</v>
      </c>
      <c r="M29" s="11">
        <v>0.17712475074875395</v>
      </c>
      <c r="N29" s="12" t="str">
        <f>IF(       0.922&lt;0.01,"***",IF(       0.922&lt;0.05,"**",IF(       0.922&lt;0.1,"*","NS")))</f>
        <v>NS</v>
      </c>
      <c r="P29" s="15" t="s">
        <v>7</v>
      </c>
      <c r="Q29" s="11">
        <v>98.497824798624109</v>
      </c>
      <c r="R29" s="11">
        <v>98.669823153020786</v>
      </c>
      <c r="S29" s="11">
        <v>0.17199835439668712</v>
      </c>
      <c r="T29" s="12" t="str">
        <f>IF(       0.924&lt;0.01,"***",IF(       0.924&lt;0.05,"**",IF(       0.924&lt;0.1,"*","NS")))</f>
        <v>NS</v>
      </c>
    </row>
    <row r="30" spans="1:20" ht="15.75" customHeight="1">
      <c r="A30" s="15" t="s">
        <v>8</v>
      </c>
      <c r="B30" s="11">
        <v>95.207870316327956</v>
      </c>
      <c r="C30" s="11">
        <v>90.834111494112747</v>
      </c>
      <c r="D30" s="11">
        <v>-4.3737588222151471</v>
      </c>
      <c r="E30" s="12" t="str">
        <f>IF(       0.009&lt;0.01,"***",IF(       0.009&lt;0.05,"**",IF(       0.009&lt;0.1,"*","NS")))</f>
        <v>***</v>
      </c>
      <c r="G30" s="15" t="s">
        <v>8</v>
      </c>
      <c r="H30" s="11">
        <v>95.207870316327956</v>
      </c>
      <c r="I30" s="11">
        <v>93.138092890249638</v>
      </c>
      <c r="J30" s="11">
        <v>-2.069777426078304</v>
      </c>
      <c r="K30" s="12" t="str">
        <f>IF(       0.128&lt;0.01,"***",IF(       0.128&lt;0.05,"**",IF(       0.128&lt;0.1,"*","NS")))</f>
        <v>NS</v>
      </c>
      <c r="L30" s="11">
        <v>85.288524648649329</v>
      </c>
      <c r="M30" s="11">
        <v>-9.9193456676783462</v>
      </c>
      <c r="N30" s="12" t="str">
        <f>IF(       0.003&lt;0.01,"***",IF(       0.003&lt;0.05,"**",IF(       0.003&lt;0.1,"*","NS")))</f>
        <v>***</v>
      </c>
      <c r="P30" s="15" t="s">
        <v>8</v>
      </c>
      <c r="Q30" s="11">
        <v>95.016479652456198</v>
      </c>
      <c r="R30" s="11">
        <v>85.288524648649329</v>
      </c>
      <c r="S30" s="11">
        <v>-9.7279550038063203</v>
      </c>
      <c r="T30" s="12" t="str">
        <f>IF(       0.003&lt;0.01,"***",IF(       0.003&lt;0.05,"**",IF(       0.003&lt;0.1,"*","NS")))</f>
        <v>***</v>
      </c>
    </row>
    <row r="31" spans="1:20" ht="15.75" customHeight="1">
      <c r="A31" s="15" t="s">
        <v>10</v>
      </c>
      <c r="B31" s="11">
        <v>97.54091858514532</v>
      </c>
      <c r="C31" s="11">
        <v>96.579367721386504</v>
      </c>
      <c r="D31" s="11">
        <v>-0.96155086375881127</v>
      </c>
      <c r="E31" s="12" t="str">
        <f>IF(       0.026&lt;0.01,"***",IF(       0.026&lt;0.05,"**",IF(       0.026&lt;0.1,"*","NS")))</f>
        <v>**</v>
      </c>
      <c r="G31" s="15" t="s">
        <v>10</v>
      </c>
      <c r="H31" s="11">
        <v>97.54091858514532</v>
      </c>
      <c r="I31" s="11">
        <v>96.767243290641034</v>
      </c>
      <c r="J31" s="11">
        <v>-0.77367529450433303</v>
      </c>
      <c r="K31" s="12" t="str">
        <f>IF(       0.122&lt;0.01,"***",IF(       0.122&lt;0.05,"**",IF(       0.122&lt;0.1,"*","NS")))</f>
        <v>NS</v>
      </c>
      <c r="L31" s="11">
        <v>96.238028537297836</v>
      </c>
      <c r="M31" s="11">
        <v>-1.3028900478474956</v>
      </c>
      <c r="N31" s="12" t="str">
        <f>IF(       0.085&lt;0.01,"***",IF(       0.085&lt;0.05,"**",IF(       0.085&lt;0.1,"*","NS")))</f>
        <v>*</v>
      </c>
      <c r="P31" s="15" t="s">
        <v>10</v>
      </c>
      <c r="Q31" s="11">
        <v>97.468483734566988</v>
      </c>
      <c r="R31" s="11">
        <v>96.238028537297836</v>
      </c>
      <c r="S31" s="11">
        <v>-1.2304551972692701</v>
      </c>
      <c r="T31" s="12" t="str">
        <f>IF(       0.103&lt;0.01,"***",IF(       0.103&lt;0.05,"**",IF(       0.103&lt;0.1,"*","NS")))</f>
        <v>NS</v>
      </c>
    </row>
    <row r="32" spans="1:20" ht="15.75" customHeight="1"/>
    <row r="33" spans="1:20" ht="15.75" customHeight="1">
      <c r="A33" s="15" t="s">
        <v>269</v>
      </c>
      <c r="G33" s="15" t="s">
        <v>270</v>
      </c>
      <c r="P33" s="15" t="s">
        <v>271</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99.688549327151705</v>
      </c>
      <c r="C35" s="11">
        <v>100</v>
      </c>
      <c r="D35" s="11">
        <v>0.3114506728482842</v>
      </c>
      <c r="E35" s="12" t="str">
        <f>IF(       0.063&lt;0.01,"***",IF(       0.063&lt;0.05,"**",IF(       0.063&lt;0.1,"*","NS")))</f>
        <v>*</v>
      </c>
      <c r="G35" s="15" t="s">
        <v>5</v>
      </c>
      <c r="H35" s="11">
        <v>99.688549327151705</v>
      </c>
      <c r="I35" s="11">
        <v>100</v>
      </c>
      <c r="J35" s="11">
        <v>0.31145067284829586</v>
      </c>
      <c r="K35" s="12" t="str">
        <f>IF(       0.063&lt;0.01,"***",IF(       0.063&lt;0.05,"**",IF(       0.063&lt;0.1,"*","NS")))</f>
        <v>*</v>
      </c>
      <c r="L35" s="11">
        <v>100</v>
      </c>
      <c r="M35" s="11">
        <v>0.31145067284828948</v>
      </c>
      <c r="N35" s="12" t="str">
        <f>IF(       0.063&lt;0.01,"***",IF(       0.063&lt;0.05,"**",IF(       0.063&lt;0.1,"*","NS")))</f>
        <v>*</v>
      </c>
      <c r="P35" s="15" t="s">
        <v>5</v>
      </c>
      <c r="Q35" s="11">
        <v>99.718467479747062</v>
      </c>
      <c r="R35" s="11">
        <v>100</v>
      </c>
      <c r="S35" s="11">
        <v>0.2815325202529414</v>
      </c>
      <c r="T35" s="12" t="str">
        <f>IF(       0.063&lt;0.01,"***",IF(       0.063&lt;0.05,"**",IF(       0.063&lt;0.1,"*","NS")))</f>
        <v>*</v>
      </c>
    </row>
    <row r="36" spans="1:20" ht="15.75" customHeight="1">
      <c r="A36" s="15" t="s">
        <v>6</v>
      </c>
      <c r="B36" s="11">
        <v>98.532991137410946</v>
      </c>
      <c r="C36" s="11">
        <v>98.286713466091769</v>
      </c>
      <c r="D36" s="11">
        <v>-0.24627767131917025</v>
      </c>
      <c r="E36" s="12" t="str">
        <f>IF(       0.796&lt;0.01,"***",IF(       0.796&lt;0.05,"**",IF(       0.796&lt;0.1,"*","NS")))</f>
        <v>NS</v>
      </c>
      <c r="G36" s="15" t="s">
        <v>6</v>
      </c>
      <c r="H36" s="11">
        <v>98.532991137410946</v>
      </c>
      <c r="I36" s="11">
        <v>97.778165793918916</v>
      </c>
      <c r="J36" s="11">
        <v>-0.75482534349202746</v>
      </c>
      <c r="K36" s="12" t="str">
        <f>IF(       0.52&lt;0.01,"***",IF(       0.52&lt;0.05,"**",IF(       0.52&lt;0.1,"*","NS")))</f>
        <v>NS</v>
      </c>
      <c r="L36" s="11">
        <v>100</v>
      </c>
      <c r="M36" s="11">
        <v>1.4670088625890128</v>
      </c>
      <c r="N36" s="12" t="str">
        <f>IF(       0.007&lt;0.01,"***",IF(       0.007&lt;0.05,"**",IF(       0.007&lt;0.1,"*","NS")))</f>
        <v>***</v>
      </c>
      <c r="P36" s="15" t="s">
        <v>6</v>
      </c>
      <c r="Q36" s="11">
        <v>98.455232201151901</v>
      </c>
      <c r="R36" s="11">
        <v>100</v>
      </c>
      <c r="S36" s="11">
        <v>1.5447677988480735</v>
      </c>
      <c r="T36" s="12" t="str">
        <f>IF(       0.003&lt;0.01,"***",IF(       0.003&lt;0.05,"**",IF(       0.003&lt;0.1,"*","NS")))</f>
        <v>***</v>
      </c>
    </row>
    <row r="37" spans="1:20" ht="15.75" customHeight="1">
      <c r="A37" s="15" t="s">
        <v>7</v>
      </c>
      <c r="B37" s="11">
        <v>98.934524045698836</v>
      </c>
      <c r="C37" s="11">
        <v>98.809796464618188</v>
      </c>
      <c r="D37" s="11">
        <v>-0.12472758108064418</v>
      </c>
      <c r="E37" s="12" t="str">
        <f>IF(       0.89&lt;0.01,"***",IF(       0.89&lt;0.05,"**",IF(       0.89&lt;0.1,"*","NS")))</f>
        <v>NS</v>
      </c>
      <c r="G37" s="15" t="s">
        <v>7</v>
      </c>
      <c r="H37" s="11">
        <v>98.934524045698836</v>
      </c>
      <c r="I37" s="11">
        <v>98.737902421349347</v>
      </c>
      <c r="J37" s="11">
        <v>-0.19662162434950387</v>
      </c>
      <c r="K37" s="12" t="str">
        <f>IF(       0.873&lt;0.01,"***",IF(       0.873&lt;0.05,"**",IF(       0.873&lt;0.1,"*","NS")))</f>
        <v>NS</v>
      </c>
      <c r="L37" s="11">
        <v>98.981928999332851</v>
      </c>
      <c r="M37" s="11">
        <v>4.7404953634001809E-2</v>
      </c>
      <c r="N37" s="12" t="str">
        <f>IF(       0.964&lt;0.01,"***",IF(       0.964&lt;0.05,"**",IF(       0.964&lt;0.1,"*","NS")))</f>
        <v>NS</v>
      </c>
      <c r="P37" s="15" t="s">
        <v>7</v>
      </c>
      <c r="Q37" s="11">
        <v>98.911189163291468</v>
      </c>
      <c r="R37" s="11">
        <v>98.981928999332851</v>
      </c>
      <c r="S37" s="11">
        <v>7.0739836041378193E-2</v>
      </c>
      <c r="T37" s="12" t="str">
        <f>IF(       0.947&lt;0.01,"***",IF(       0.947&lt;0.05,"**",IF(       0.947&lt;0.1,"*","NS")))</f>
        <v>NS</v>
      </c>
    </row>
    <row r="38" spans="1:20" ht="15.75" customHeight="1">
      <c r="A38" s="15" t="s">
        <v>8</v>
      </c>
      <c r="B38" s="11">
        <v>97.67439569956241</v>
      </c>
      <c r="C38" s="11">
        <v>96.906285371018001</v>
      </c>
      <c r="D38" s="11">
        <v>-0.76811032854440253</v>
      </c>
      <c r="E38" s="12" t="str">
        <f>IF(       0.359&lt;0.01,"***",IF(       0.359&lt;0.05,"**",IF(       0.359&lt;0.1,"*","NS")))</f>
        <v>NS</v>
      </c>
      <c r="G38" s="15" t="s">
        <v>8</v>
      </c>
      <c r="H38" s="11">
        <v>97.67439569956241</v>
      </c>
      <c r="I38" s="11">
        <v>97.91244836007526</v>
      </c>
      <c r="J38" s="11">
        <v>0.23805266051284077</v>
      </c>
      <c r="K38" s="12" t="str">
        <f>IF(       0.731&lt;0.01,"***",IF(       0.731&lt;0.05,"**",IF(       0.731&lt;0.1,"*","NS")))</f>
        <v>NS</v>
      </c>
      <c r="L38" s="11">
        <v>94.569131188032259</v>
      </c>
      <c r="M38" s="11">
        <v>-3.1052645115301223</v>
      </c>
      <c r="N38" s="12" t="str">
        <f>IF(       0.115&lt;0.01,"***",IF(       0.115&lt;0.05,"**",IF(       0.115&lt;0.1,"*","NS")))</f>
        <v>NS</v>
      </c>
      <c r="P38" s="15" t="s">
        <v>8</v>
      </c>
      <c r="Q38" s="11">
        <v>97.695139267319945</v>
      </c>
      <c r="R38" s="11">
        <v>94.569131188032259</v>
      </c>
      <c r="S38" s="11">
        <v>-3.1260080792876388</v>
      </c>
      <c r="T38" s="12" t="str">
        <f>IF(       0.111&lt;0.01,"***",IF(       0.111&lt;0.05,"**",IF(       0.111&lt;0.1,"*","NS")))</f>
        <v>NS</v>
      </c>
    </row>
    <row r="39" spans="1:20" ht="15.75" customHeight="1">
      <c r="A39" s="15" t="s">
        <v>10</v>
      </c>
      <c r="B39" s="11">
        <v>98.857869286564878</v>
      </c>
      <c r="C39" s="11">
        <v>98.756504441994792</v>
      </c>
      <c r="D39" s="11">
        <v>-0.10136484457008139</v>
      </c>
      <c r="E39" s="12" t="str">
        <f>IF(       0.875&lt;0.01,"***",IF(       0.875&lt;0.05,"**",IF(       0.875&lt;0.1,"*","NS")))</f>
        <v>NS</v>
      </c>
      <c r="G39" s="15" t="s">
        <v>10</v>
      </c>
      <c r="H39" s="11">
        <v>98.857869286564878</v>
      </c>
      <c r="I39" s="11">
        <v>98.710021356100953</v>
      </c>
      <c r="J39" s="11">
        <v>-0.14784793046392708</v>
      </c>
      <c r="K39" s="12" t="str">
        <f>IF(       0.868&lt;0.01,"***",IF(       0.868&lt;0.05,"**",IF(       0.868&lt;0.1,"*","NS")))</f>
        <v>NS</v>
      </c>
      <c r="L39" s="11">
        <v>98.86565641602219</v>
      </c>
      <c r="M39" s="11">
        <v>7.7871294573243887E-3</v>
      </c>
      <c r="N39" s="12" t="str">
        <f>IF(       0.992&lt;0.01,"***",IF(       0.992&lt;0.05,"**",IF(       0.992&lt;0.1,"*","NS")))</f>
        <v>NS</v>
      </c>
      <c r="P39" s="15" t="s">
        <v>10</v>
      </c>
      <c r="Q39" s="11">
        <v>98.841421132089337</v>
      </c>
      <c r="R39" s="11">
        <v>98.86565641602219</v>
      </c>
      <c r="S39" s="11">
        <v>2.4235283932868824E-2</v>
      </c>
      <c r="T39" s="12" t="str">
        <f>IF(       0.974&lt;0.01,"***",IF(       0.974&lt;0.05,"**",IF(       0.974&lt;0.1,"*","NS")))</f>
        <v>NS</v>
      </c>
    </row>
    <row r="40" spans="1:20" ht="15.75" customHeight="1"/>
    <row r="41" spans="1:20" ht="15.75" customHeight="1">
      <c r="A41" s="15" t="s">
        <v>272</v>
      </c>
      <c r="G41" s="15" t="s">
        <v>273</v>
      </c>
      <c r="P41" s="15" t="s">
        <v>274</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98.944717601058358</v>
      </c>
      <c r="C43" s="11">
        <v>97.084501677191668</v>
      </c>
      <c r="D43" s="11">
        <v>-1.8602159238666602</v>
      </c>
      <c r="E43" s="12" t="str">
        <f>IF(       0.092&lt;0.01,"***",IF(       0.092&lt;0.05,"**",IF(       0.092&lt;0.1,"*","NS")))</f>
        <v>*</v>
      </c>
      <c r="G43" s="15" t="s">
        <v>5</v>
      </c>
      <c r="H43" s="11">
        <v>98.944717601058358</v>
      </c>
      <c r="I43" s="11">
        <v>98.124317170565774</v>
      </c>
      <c r="J43" s="11">
        <v>-0.82040043049257905</v>
      </c>
      <c r="K43" s="12" t="str">
        <f>IF(       0.413&lt;0.01,"***",IF(       0.413&lt;0.05,"**",IF(       0.413&lt;0.1,"*","NS")))</f>
        <v>NS</v>
      </c>
      <c r="L43" s="11">
        <v>95.511027148458041</v>
      </c>
      <c r="M43" s="11">
        <v>-3.4336904526002869</v>
      </c>
      <c r="N43" s="12" t="str">
        <f>IF(       0.938&lt;0.01,"***",IF(       0.938&lt;0.05,"**",IF(       0.938&lt;0.1,"*","NS")))</f>
        <v>NS</v>
      </c>
      <c r="P43" s="15" t="s">
        <v>5</v>
      </c>
      <c r="Q43" s="11">
        <v>98.916554166642925</v>
      </c>
      <c r="R43" s="11">
        <v>95.511027148458041</v>
      </c>
      <c r="S43" s="11">
        <v>-3.405527018184987</v>
      </c>
      <c r="T43" s="12" t="str">
        <f>IF(       0.176&lt;0.01,"***",IF(       0.176&lt;0.05,"**",IF(       0.176&lt;0.1,"*","NS")))</f>
        <v>NS</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98.960962928984657</v>
      </c>
      <c r="C45" s="11">
        <v>98.712937371723015</v>
      </c>
      <c r="D45" s="11">
        <v>-0.24802555726165421</v>
      </c>
      <c r="E45" s="12" t="str">
        <f>IF(       0.842&lt;0.01,"***",IF(       0.842&lt;0.05,"**",IF(       0.842&lt;0.1,"*","NS")))</f>
        <v>NS</v>
      </c>
      <c r="G45" s="15" t="s">
        <v>7</v>
      </c>
      <c r="H45" s="11">
        <v>98.960962928984657</v>
      </c>
      <c r="I45" s="11">
        <v>98.36372489113954</v>
      </c>
      <c r="J45" s="11">
        <v>-0.59723803784513874</v>
      </c>
      <c r="K45" s="12" t="str">
        <f>IF(       0.705&lt;0.01,"***",IF(       0.705&lt;0.05,"**",IF(       0.705&lt;0.1,"*","NS")))</f>
        <v>NS</v>
      </c>
      <c r="L45" s="11">
        <v>100</v>
      </c>
      <c r="M45" s="11">
        <v>1.0390370710153292</v>
      </c>
      <c r="N45" s="12" t="str">
        <f>IF(       0&lt;0.01,"***",IF(       0&lt;0.05,"**",IF(       0&lt;0.1,"*","NS")))</f>
        <v>***</v>
      </c>
      <c r="P45" s="15" t="s">
        <v>7</v>
      </c>
      <c r="Q45" s="11">
        <v>98.920276378059469</v>
      </c>
      <c r="R45" s="11">
        <v>100</v>
      </c>
      <c r="S45" s="11">
        <v>1.0797236219405175</v>
      </c>
      <c r="T45" s="12" t="str">
        <f>IF(       0.037&lt;0.01,"***",IF(       0.037&lt;0.05,"**",IF(       0.037&lt;0.1,"*","NS")))</f>
        <v>**</v>
      </c>
    </row>
    <row r="46" spans="1:20" ht="15.75" customHeight="1">
      <c r="A46" s="15" t="s">
        <v>8</v>
      </c>
      <c r="B46" s="11">
        <v>96.485990202253191</v>
      </c>
      <c r="C46" s="11">
        <v>93.501349140609889</v>
      </c>
      <c r="D46" s="11">
        <v>-2.9846410616434014</v>
      </c>
      <c r="E46" s="12" t="str">
        <f>IF(       0.142&lt;0.01,"***",IF(       0.142&lt;0.05,"**",IF(       0.142&lt;0.1,"*","NS")))</f>
        <v>NS</v>
      </c>
      <c r="G46" s="15" t="s">
        <v>8</v>
      </c>
      <c r="H46" s="11">
        <v>96.485990202253191</v>
      </c>
      <c r="I46" s="11">
        <v>95.521936647044683</v>
      </c>
      <c r="J46" s="11">
        <v>-0.96405355520848335</v>
      </c>
      <c r="K46" s="12" t="str">
        <f>IF(       0.421&lt;0.01,"***",IF(       0.421&lt;0.05,"**",IF(       0.421&lt;0.1,"*","NS")))</f>
        <v>NS</v>
      </c>
      <c r="L46" s="11">
        <v>86.273049642523048</v>
      </c>
      <c r="M46" s="11">
        <v>-10.212940559730196</v>
      </c>
      <c r="N46" s="12" t="str">
        <f>IF(       0.041&lt;0.01,"***",IF(       0.041&lt;0.05,"**",IF(       0.041&lt;0.1,"*","NS")))</f>
        <v>**</v>
      </c>
      <c r="P46" s="15" t="s">
        <v>8</v>
      </c>
      <c r="Q46" s="11">
        <v>96.440999142173169</v>
      </c>
      <c r="R46" s="11">
        <v>86.273049642523048</v>
      </c>
      <c r="S46" s="11">
        <v>-10.167949499650282</v>
      </c>
      <c r="T46" s="12" t="str">
        <f>IF(       0.107&lt;0.01,"***",IF(       0.107&lt;0.05,"**",IF(       0.107&lt;0.1,"*","NS")))</f>
        <v>NS</v>
      </c>
    </row>
    <row r="47" spans="1:20" ht="15.75" customHeight="1">
      <c r="A47" s="15" t="s">
        <v>10</v>
      </c>
      <c r="B47" s="11">
        <v>98.317058125846216</v>
      </c>
      <c r="C47" s="11">
        <v>97.43504211062168</v>
      </c>
      <c r="D47" s="11">
        <v>-0.88201601522461703</v>
      </c>
      <c r="E47" s="12" t="str">
        <f>IF(       0.236&lt;0.01,"***",IF(       0.236&lt;0.05,"**",IF(       0.236&lt;0.1,"*","NS")))</f>
        <v>NS</v>
      </c>
      <c r="G47" s="15" t="s">
        <v>10</v>
      </c>
      <c r="H47" s="11">
        <v>98.317058125846216</v>
      </c>
      <c r="I47" s="11">
        <v>97.607675652468103</v>
      </c>
      <c r="J47" s="11">
        <v>-0.70938247337811933</v>
      </c>
      <c r="K47" s="12" t="str">
        <f>IF(       0.439&lt;0.01,"***",IF(       0.439&lt;0.05,"**",IF(       0.439&lt;0.1,"*","NS")))</f>
        <v>NS</v>
      </c>
      <c r="L47" s="11">
        <v>96.952296092975701</v>
      </c>
      <c r="M47" s="11">
        <v>-1.3647620328706338</v>
      </c>
      <c r="N47" s="12" t="str">
        <f>IF(       0.238&lt;0.01,"***",IF(       0.238&lt;0.05,"**",IF(       0.238&lt;0.1,"*","NS")))</f>
        <v>NS</v>
      </c>
      <c r="P47" s="15" t="s">
        <v>10</v>
      </c>
      <c r="Q47" s="11">
        <v>98.281198925984171</v>
      </c>
      <c r="R47" s="11">
        <v>96.952296092975701</v>
      </c>
      <c r="S47" s="11">
        <v>-1.32890283300852</v>
      </c>
      <c r="T47" s="12" t="str">
        <f>IF(       0.251&lt;0.01,"***",IF(       0.251&lt;0.05,"**",IF(       0.251&lt;0.1,"*","NS")))</f>
        <v>NS</v>
      </c>
    </row>
    <row r="48" spans="1:20" ht="15.75" customHeight="1"/>
    <row r="49" spans="1:20" ht="15.75" customHeight="1">
      <c r="A49" s="15" t="s">
        <v>275</v>
      </c>
      <c r="G49" s="15" t="s">
        <v>276</v>
      </c>
      <c r="P49" s="15" t="s">
        <v>277</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98.237787434320637</v>
      </c>
      <c r="C51" s="11">
        <v>99.307856238847663</v>
      </c>
      <c r="D51" s="11">
        <v>1.0700688045270208</v>
      </c>
      <c r="E51" s="12" t="str">
        <f>IF(       0.255&lt;0.01,"***",IF(       0.255&lt;0.05,"**",IF(       0.255&lt;0.1,"*","NS")))</f>
        <v>NS</v>
      </c>
      <c r="G51" s="15" t="s">
        <v>5</v>
      </c>
      <c r="H51" s="11">
        <v>98.237787434320637</v>
      </c>
      <c r="I51" s="11">
        <v>99.177442866493124</v>
      </c>
      <c r="J51" s="11">
        <v>0.93965543217248737</v>
      </c>
      <c r="K51" s="12" t="str">
        <f>IF(       0.37&lt;0.01,"***",IF(       0.37&lt;0.05,"**",IF(       0.37&lt;0.1,"*","NS")))</f>
        <v>NS</v>
      </c>
      <c r="L51" s="11">
        <v>99.505084054070693</v>
      </c>
      <c r="M51" s="11">
        <v>1.2672966197500708</v>
      </c>
      <c r="N51" s="12" t="str">
        <f>IF(       0.168&lt;0.01,"***",IF(       0.168&lt;0.05,"**",IF(       0.168&lt;0.1,"*","NS")))</f>
        <v>NS</v>
      </c>
      <c r="P51" s="15" t="s">
        <v>5</v>
      </c>
      <c r="Q51" s="11">
        <v>98.471504634026189</v>
      </c>
      <c r="R51" s="11">
        <v>99.505084054070693</v>
      </c>
      <c r="S51" s="11">
        <v>1.0335794200445065</v>
      </c>
      <c r="T51" s="12" t="str">
        <f>IF(       0.165&lt;0.01,"***",IF(       0.165&lt;0.05,"**",IF(       0.165&lt;0.1,"*","NS")))</f>
        <v>NS</v>
      </c>
    </row>
    <row r="52" spans="1:20" ht="15.75" customHeight="1">
      <c r="A52" s="15" t="s">
        <v>6</v>
      </c>
      <c r="B52" s="11">
        <v>98.140853501060803</v>
      </c>
      <c r="C52" s="11">
        <v>96.700232405973694</v>
      </c>
      <c r="D52" s="11">
        <v>-1.4406210950871217</v>
      </c>
      <c r="E52" s="12" t="str">
        <f>IF(       0.121&lt;0.01,"***",IF(       0.121&lt;0.05,"**",IF(       0.121&lt;0.1,"*","NS")))</f>
        <v>NS</v>
      </c>
      <c r="G52" s="15" t="s">
        <v>6</v>
      </c>
      <c r="H52" s="11">
        <v>98.140853501060803</v>
      </c>
      <c r="I52" s="11">
        <v>96.149152899715489</v>
      </c>
      <c r="J52" s="11">
        <v>-1.9917006013453094</v>
      </c>
      <c r="K52" s="12" t="str">
        <f>IF(       0.093&lt;0.01,"***",IF(       0.093&lt;0.05,"**",IF(       0.093&lt;0.1,"*","NS")))</f>
        <v>*</v>
      </c>
      <c r="L52" s="11">
        <v>98.032165990001843</v>
      </c>
      <c r="M52" s="11">
        <v>-0.10868751105896703</v>
      </c>
      <c r="N52" s="12" t="str">
        <f>IF(       0.931&lt;0.01,"***",IF(       0.931&lt;0.05,"**",IF(       0.931&lt;0.1,"*","NS")))</f>
        <v>NS</v>
      </c>
      <c r="P52" s="15" t="s">
        <v>6</v>
      </c>
      <c r="Q52" s="11">
        <v>97.674576464512953</v>
      </c>
      <c r="R52" s="11">
        <v>98.032165990001843</v>
      </c>
      <c r="S52" s="11">
        <v>0.35758952548889322</v>
      </c>
      <c r="T52" s="12" t="str">
        <f>IF(       0.78&lt;0.01,"***",IF(       0.78&lt;0.05,"**",IF(       0.78&lt;0.1,"*","NS")))</f>
        <v>NS</v>
      </c>
    </row>
    <row r="53" spans="1:20" ht="15.75" customHeight="1">
      <c r="A53" s="15" t="s">
        <v>7</v>
      </c>
      <c r="B53" s="11">
        <v>98.486446199071111</v>
      </c>
      <c r="C53" s="11">
        <v>98.802632037000521</v>
      </c>
      <c r="D53" s="11">
        <v>0.31618583792941829</v>
      </c>
      <c r="E53" s="12" t="str">
        <f>IF(       0.646&lt;0.01,"***",IF(       0.646&lt;0.05,"**",IF(       0.646&lt;0.1,"*","NS")))</f>
        <v>NS</v>
      </c>
      <c r="G53" s="15" t="s">
        <v>7</v>
      </c>
      <c r="H53" s="11">
        <v>98.486446199071111</v>
      </c>
      <c r="I53" s="11">
        <v>98.957028598803348</v>
      </c>
      <c r="J53" s="11">
        <v>0.47058239973222965</v>
      </c>
      <c r="K53" s="12" t="str">
        <f>IF(       0.579&lt;0.01,"***",IF(       0.579&lt;0.05,"**",IF(       0.579&lt;0.1,"*","NS")))</f>
        <v>NS</v>
      </c>
      <c r="L53" s="11">
        <v>98.52741492264785</v>
      </c>
      <c r="M53" s="11">
        <v>4.0968723576740376E-2</v>
      </c>
      <c r="N53" s="12" t="str">
        <f>IF(       0.97&lt;0.01,"***",IF(       0.97&lt;0.05,"**",IF(       0.97&lt;0.1,"*","NS")))</f>
        <v>NS</v>
      </c>
      <c r="P53" s="15" t="s">
        <v>7</v>
      </c>
      <c r="Q53" s="11">
        <v>98.605793948250351</v>
      </c>
      <c r="R53" s="11">
        <v>98.52741492264785</v>
      </c>
      <c r="S53" s="11">
        <v>-7.8379025602499194E-2</v>
      </c>
      <c r="T53" s="12" t="str">
        <f>IF(       0.943&lt;0.01,"***",IF(       0.943&lt;0.05,"**",IF(       0.943&lt;0.1,"*","NS")))</f>
        <v>NS</v>
      </c>
    </row>
    <row r="54" spans="1:20" ht="15.75" customHeight="1">
      <c r="A54" s="15" t="s">
        <v>8</v>
      </c>
      <c r="B54" s="11">
        <v>94.556596939940206</v>
      </c>
      <c r="C54" s="11">
        <v>92.239245610925877</v>
      </c>
      <c r="D54" s="11">
        <v>-2.317351329014357</v>
      </c>
      <c r="E54" s="12" t="str">
        <f>IF(       0.124&lt;0.01,"***",IF(       0.124&lt;0.05,"**",IF(       0.124&lt;0.1,"*","NS")))</f>
        <v>NS</v>
      </c>
      <c r="G54" s="15" t="s">
        <v>8</v>
      </c>
      <c r="H54" s="11">
        <v>94.556596939940206</v>
      </c>
      <c r="I54" s="11">
        <v>94.010093373896368</v>
      </c>
      <c r="J54" s="11">
        <v>-0.54650356604384109</v>
      </c>
      <c r="K54" s="12" t="str">
        <f>IF(       0.719&lt;0.01,"***",IF(       0.719&lt;0.05,"**",IF(       0.719&lt;0.1,"*","NS")))</f>
        <v>NS</v>
      </c>
      <c r="L54" s="11">
        <v>88.689365576622095</v>
      </c>
      <c r="M54" s="11">
        <v>-5.8672313633180959</v>
      </c>
      <c r="N54" s="12" t="str">
        <f>IF(       0.013&lt;0.01,"***",IF(       0.013&lt;0.05,"**",IF(       0.013&lt;0.1,"*","NS")))</f>
        <v>**</v>
      </c>
      <c r="P54" s="15" t="s">
        <v>8</v>
      </c>
      <c r="Q54" s="11">
        <v>94.450569535285567</v>
      </c>
      <c r="R54" s="11">
        <v>88.689365576622095</v>
      </c>
      <c r="S54" s="11">
        <v>-5.761203958663403</v>
      </c>
      <c r="T54" s="12" t="str">
        <f>IF(       0.012&lt;0.01,"***",IF(       0.012&lt;0.05,"**",IF(       0.012&lt;0.1,"*","NS")))</f>
        <v>**</v>
      </c>
    </row>
    <row r="55" spans="1:20" ht="15.75" customHeight="1">
      <c r="A55" s="15" t="s">
        <v>10</v>
      </c>
      <c r="B55" s="11">
        <v>97.674579272457464</v>
      </c>
      <c r="C55" s="11">
        <v>97.792993317166136</v>
      </c>
      <c r="D55" s="11">
        <v>0.11841404470866702</v>
      </c>
      <c r="E55" s="12" t="str">
        <f>IF(       0.793&lt;0.01,"***",IF(       0.793&lt;0.05,"**",IF(       0.793&lt;0.1,"*","NS")))</f>
        <v>NS</v>
      </c>
      <c r="G55" s="15" t="s">
        <v>10</v>
      </c>
      <c r="H55" s="11">
        <v>97.674579272457464</v>
      </c>
      <c r="I55" s="11">
        <v>97.885917367167067</v>
      </c>
      <c r="J55" s="11">
        <v>0.21133809470959811</v>
      </c>
      <c r="K55" s="12" t="str">
        <f>IF(       0.687&lt;0.01,"***",IF(       0.687&lt;0.05,"**",IF(       0.687&lt;0.1,"*","NS")))</f>
        <v>NS</v>
      </c>
      <c r="L55" s="11">
        <v>97.626082974478649</v>
      </c>
      <c r="M55" s="11">
        <v>-4.8496297978823773E-2</v>
      </c>
      <c r="N55" s="12" t="str">
        <f>IF(       0.938&lt;0.01,"***",IF(       0.938&lt;0.05,"**",IF(       0.938&lt;0.1,"*","NS")))</f>
        <v>NS</v>
      </c>
      <c r="P55" s="15" t="s">
        <v>10</v>
      </c>
      <c r="Q55" s="11">
        <v>97.725109477268731</v>
      </c>
      <c r="R55" s="11">
        <v>97.626082974478649</v>
      </c>
      <c r="S55" s="11">
        <v>-9.9026502790091883E-2</v>
      </c>
      <c r="T55" s="12" t="str">
        <f>IF(       0.868&lt;0.01,"***",IF(       0.868&lt;0.05,"**",IF(       0.868&lt;0.1,"*","NS")))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278</v>
      </c>
      <c r="G1" s="15" t="s">
        <v>279</v>
      </c>
      <c r="P1" s="15" t="s">
        <v>280</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84.018756544470207</v>
      </c>
      <c r="C3" s="11">
        <v>90.530048870731264</v>
      </c>
      <c r="D3" s="11">
        <v>6.511292326260981</v>
      </c>
      <c r="E3" s="12" t="str">
        <f>IF(       0&lt;0.01,"***",IF(       0&lt;0.05,"**",IF(       0&lt;0.1,"*","NS")))</f>
        <v>***</v>
      </c>
      <c r="G3" s="15" t="s">
        <v>5</v>
      </c>
      <c r="H3" s="11">
        <v>84.018756544470207</v>
      </c>
      <c r="I3" s="11">
        <v>89.753172526685688</v>
      </c>
      <c r="J3" s="11">
        <v>5.7344159822157446</v>
      </c>
      <c r="K3" s="12" t="str">
        <f>IF(       0&lt;0.01,"***",IF(       0&lt;0.05,"**",IF(       0&lt;0.1,"*","NS")))</f>
        <v>***</v>
      </c>
      <c r="L3" s="11">
        <v>91.705132198751784</v>
      </c>
      <c r="M3" s="11">
        <v>7.6863756542817825</v>
      </c>
      <c r="N3" s="12" t="str">
        <f t="shared" ref="N3:N4" si="0">IF(       0&lt;0.01,"***",IF(       0&lt;0.05,"**",IF(       0&lt;0.1,"*","NS")))</f>
        <v>***</v>
      </c>
      <c r="P3" s="15" t="s">
        <v>5</v>
      </c>
      <c r="Q3" s="11">
        <v>84.543802218295454</v>
      </c>
      <c r="R3" s="11">
        <v>91.705132198751784</v>
      </c>
      <c r="S3" s="11">
        <v>7.1613299804558448</v>
      </c>
      <c r="T3" s="12" t="str">
        <f t="shared" ref="T3:T4" si="1">IF(       0&lt;0.01,"***",IF(       0&lt;0.05,"**",IF(       0&lt;0.1,"*","NS")))</f>
        <v>***</v>
      </c>
    </row>
    <row r="4" spans="1:20">
      <c r="A4" s="15" t="s">
        <v>6</v>
      </c>
      <c r="B4" s="11">
        <v>79.007514602171995</v>
      </c>
      <c r="C4" s="11">
        <v>86.048316659579186</v>
      </c>
      <c r="D4" s="11">
        <v>7.0408020574073644</v>
      </c>
      <c r="E4" s="12" t="str">
        <f>IF(       0.007&lt;0.01,"***",IF(       0.007&lt;0.05,"**",IF(       0.007&lt;0.1,"*","NS")))</f>
        <v>***</v>
      </c>
      <c r="G4" s="15" t="s">
        <v>6</v>
      </c>
      <c r="H4" s="11">
        <v>79.007514602171995</v>
      </c>
      <c r="I4" s="11">
        <v>82.056097215140866</v>
      </c>
      <c r="J4" s="11">
        <v>3.0485826129687732</v>
      </c>
      <c r="K4" s="12" t="str">
        <f>IF(       0.34&lt;0.01,"***",IF(       0.34&lt;0.05,"**",IF(       0.34&lt;0.1,"*","NS")))</f>
        <v>NS</v>
      </c>
      <c r="L4" s="11">
        <v>96.231698845713566</v>
      </c>
      <c r="M4" s="11">
        <v>17.224184243541444</v>
      </c>
      <c r="N4" s="12" t="str">
        <f t="shared" si="0"/>
        <v>***</v>
      </c>
      <c r="P4" s="15" t="s">
        <v>6</v>
      </c>
      <c r="Q4" s="11">
        <v>79.294350170781271</v>
      </c>
      <c r="R4" s="11">
        <v>96.231698845713566</v>
      </c>
      <c r="S4" s="11">
        <v>16.937348674932931</v>
      </c>
      <c r="T4" s="12" t="str">
        <f t="shared" si="1"/>
        <v>***</v>
      </c>
    </row>
    <row r="5" spans="1:20">
      <c r="A5" s="15" t="s">
        <v>7</v>
      </c>
      <c r="B5" s="11">
        <v>53.367241227048957</v>
      </c>
      <c r="C5" s="11">
        <v>57.258705717341151</v>
      </c>
      <c r="D5" s="11">
        <v>3.8914644902923228</v>
      </c>
      <c r="E5" s="12" t="str">
        <f>IF(       0.327&lt;0.01,"***",IF(       0.327&lt;0.05,"**",IF(       0.327&lt;0.1,"*","NS")))</f>
        <v>NS</v>
      </c>
      <c r="G5" s="15" t="s">
        <v>7</v>
      </c>
      <c r="H5" s="11">
        <v>53.367241227048957</v>
      </c>
      <c r="I5" s="11">
        <v>52.254561091314699</v>
      </c>
      <c r="J5" s="11">
        <v>-1.1126801357342002</v>
      </c>
      <c r="K5" s="12" t="str">
        <f>IF(       0.781&lt;0.01,"***",IF(       0.781&lt;0.05,"**",IF(       0.781&lt;0.1,"*","NS")))</f>
        <v>NS</v>
      </c>
      <c r="L5" s="11">
        <v>68.698338411420892</v>
      </c>
      <c r="M5" s="11">
        <v>15.331097184372327</v>
      </c>
      <c r="N5" s="12" t="str">
        <f>IF(       0.007&lt;0.01,"***",IF(       0.007&lt;0.05,"**",IF(       0.007&lt;0.1,"*","NS")))</f>
        <v>***</v>
      </c>
      <c r="P5" s="15" t="s">
        <v>7</v>
      </c>
      <c r="Q5" s="11">
        <v>53.23668164358908</v>
      </c>
      <c r="R5" s="11">
        <v>68.698338411420892</v>
      </c>
      <c r="S5" s="11">
        <v>15.461656767831197</v>
      </c>
      <c r="T5" s="12" t="str">
        <f>IF(       0.005&lt;0.01,"***",IF(       0.005&lt;0.05,"**",IF(       0.005&lt;0.1,"*","NS")))</f>
        <v>***</v>
      </c>
    </row>
    <row r="6" spans="1:20">
      <c r="A6" s="15" t="s">
        <v>8</v>
      </c>
      <c r="B6" s="11">
        <v>84.92642621049113</v>
      </c>
      <c r="C6" s="11">
        <v>89.148379047481868</v>
      </c>
      <c r="D6" s="11">
        <v>4.2219528369904076</v>
      </c>
      <c r="E6" s="12" t="str">
        <f>IF(       0.009&lt;0.01,"***",IF(       0.009&lt;0.05,"**",IF(       0.009&lt;0.1,"*","NS")))</f>
        <v>***</v>
      </c>
      <c r="G6" s="15" t="s">
        <v>8</v>
      </c>
      <c r="H6" s="11">
        <v>84.92642621049113</v>
      </c>
      <c r="I6" s="11">
        <v>88.63681567253991</v>
      </c>
      <c r="J6" s="11">
        <v>3.7103894620487337</v>
      </c>
      <c r="K6" s="12" t="str">
        <f>IF(       0.044&lt;0.01,"***",IF(       0.044&lt;0.05,"**",IF(       0.044&lt;0.1,"*","NS")))</f>
        <v>**</v>
      </c>
      <c r="L6" s="11">
        <v>90.36660564317026</v>
      </c>
      <c r="M6" s="11">
        <v>5.4401794326791313</v>
      </c>
      <c r="N6" s="12" t="str">
        <f>IF(       0.008&lt;0.01,"***",IF(       0.008&lt;0.05,"**",IF(       0.008&lt;0.1,"*","NS")))</f>
        <v>***</v>
      </c>
      <c r="P6" s="15" t="s">
        <v>8</v>
      </c>
      <c r="Q6" s="11">
        <v>85.263408685917582</v>
      </c>
      <c r="R6" s="11">
        <v>90.36660564317026</v>
      </c>
      <c r="S6" s="11">
        <v>5.1031969572527291</v>
      </c>
      <c r="T6" s="12" t="str">
        <f>IF(       0.011&lt;0.01,"***",IF(       0.011&lt;0.05,"**",IF(       0.011&lt;0.1,"*","NS")))</f>
        <v>**</v>
      </c>
    </row>
    <row r="7" spans="1:20">
      <c r="A7" s="15" t="s">
        <v>10</v>
      </c>
      <c r="B7" s="11">
        <v>71.345370008652907</v>
      </c>
      <c r="C7" s="11">
        <v>75.014328586383542</v>
      </c>
      <c r="D7" s="11">
        <v>3.6689585777302449</v>
      </c>
      <c r="E7" s="12" t="str">
        <f>IF(       0.09&lt;0.01,"***",IF(       0.09&lt;0.05,"**",IF(       0.09&lt;0.1,"*","NS")))</f>
        <v>*</v>
      </c>
      <c r="G7" s="15" t="s">
        <v>10</v>
      </c>
      <c r="H7" s="11">
        <v>71.345370008652907</v>
      </c>
      <c r="I7" s="11">
        <v>71.305981294445743</v>
      </c>
      <c r="J7" s="11">
        <v>-3.9388714207234395E-2</v>
      </c>
      <c r="K7" s="12" t="str">
        <f>IF(       0.987&lt;0.01,"***",IF(       0.987&lt;0.05,"**",IF(       0.987&lt;0.1,"*","NS")))</f>
        <v>NS</v>
      </c>
      <c r="L7" s="11">
        <v>82.658737081178899</v>
      </c>
      <c r="M7" s="11">
        <v>11.313367072525574</v>
      </c>
      <c r="N7" s="12" t="str">
        <f>IF(       0&lt;0.01,"***",IF(       0&lt;0.05,"**",IF(       0&lt;0.1,"*","NS")))</f>
        <v>***</v>
      </c>
      <c r="P7" s="15" t="s">
        <v>10</v>
      </c>
      <c r="Q7" s="11">
        <v>71.341348182272853</v>
      </c>
      <c r="R7" s="11">
        <v>82.658737081178899</v>
      </c>
      <c r="S7" s="11">
        <v>11.317388898905135</v>
      </c>
      <c r="T7" s="12" t="str">
        <f>IF(       0&lt;0.01,"***",IF(       0&lt;0.05,"**",IF(       0&lt;0.1,"*","NS")))</f>
        <v>***</v>
      </c>
    </row>
    <row r="9" spans="1:20">
      <c r="A9" s="15" t="s">
        <v>281</v>
      </c>
      <c r="G9" s="15" t="s">
        <v>282</v>
      </c>
      <c r="P9" s="15" t="s">
        <v>283</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85.527130621852535</v>
      </c>
      <c r="C11" s="11">
        <v>90.743318151583324</v>
      </c>
      <c r="D11" s="11">
        <v>5.2161875297307949</v>
      </c>
      <c r="E11" s="12" t="str">
        <f>IF(       0.005&lt;0.01,"***",IF(       0.005&lt;0.05,"**",IF(       0.005&lt;0.1,"*","NS")))</f>
        <v>***</v>
      </c>
      <c r="G11" s="15" t="s">
        <v>5</v>
      </c>
      <c r="H11" s="11">
        <v>85.527130621852535</v>
      </c>
      <c r="I11" s="11">
        <v>89.643392822967385</v>
      </c>
      <c r="J11" s="11">
        <v>4.1162622011149912</v>
      </c>
      <c r="K11" s="12" t="str">
        <f>IF(       0.043&lt;0.01,"***",IF(       0.043&lt;0.05,"**",IF(       0.043&lt;0.1,"*","NS")))</f>
        <v>**</v>
      </c>
      <c r="L11" s="11">
        <v>92.437636203034941</v>
      </c>
      <c r="M11" s="11">
        <v>6.9105055811825018</v>
      </c>
      <c r="N11" s="12" t="str">
        <f>IF(       0.003&lt;0.01,"***",IF(       0.003&lt;0.05,"**",IF(       0.003&lt;0.1,"*","NS")))</f>
        <v>***</v>
      </c>
      <c r="P11" s="15" t="s">
        <v>5</v>
      </c>
      <c r="Q11" s="11">
        <v>85.899777656733335</v>
      </c>
      <c r="R11" s="11">
        <v>92.437636203034941</v>
      </c>
      <c r="S11" s="11">
        <v>6.537858546301849</v>
      </c>
      <c r="T11" s="12" t="str">
        <f>IF(       0.004&lt;0.01,"***",IF(       0.004&lt;0.05,"**",IF(       0.004&lt;0.1,"*","NS")))</f>
        <v>***</v>
      </c>
    </row>
    <row r="12" spans="1:20">
      <c r="A12" s="15" t="s">
        <v>6</v>
      </c>
      <c r="B12" s="11">
        <v>80.708520580374199</v>
      </c>
      <c r="C12" s="11">
        <v>86.557821281327364</v>
      </c>
      <c r="D12" s="11">
        <v>5.8493007009532265</v>
      </c>
      <c r="E12" s="12" t="str">
        <f>IF(       0.053&lt;0.01,"***",IF(       0.053&lt;0.05,"**",IF(       0.053&lt;0.1,"*","NS")))</f>
        <v>*</v>
      </c>
      <c r="G12" s="15" t="s">
        <v>6</v>
      </c>
      <c r="H12" s="11">
        <v>80.708520580374199</v>
      </c>
      <c r="I12" s="11">
        <v>82.696123279457666</v>
      </c>
      <c r="J12" s="11">
        <v>1.9876026990835112</v>
      </c>
      <c r="K12" s="12" t="str">
        <f>IF(       0.602&lt;0.01,"***",IF(       0.602&lt;0.05,"**",IF(       0.602&lt;0.1,"*","NS")))</f>
        <v>NS</v>
      </c>
      <c r="L12" s="11">
        <v>97.127637767229118</v>
      </c>
      <c r="M12" s="11">
        <v>16.419117186854724</v>
      </c>
      <c r="N12" s="12" t="str">
        <f>IF(       0&lt;0.01,"***",IF(       0&lt;0.05,"**",IF(       0&lt;0.1,"*","NS")))</f>
        <v>***</v>
      </c>
      <c r="P12" s="15" t="s">
        <v>6</v>
      </c>
      <c r="Q12" s="11">
        <v>80.888488948326057</v>
      </c>
      <c r="R12" s="11">
        <v>97.127637767229118</v>
      </c>
      <c r="S12" s="11">
        <v>16.239148818903175</v>
      </c>
      <c r="T12" s="12" t="str">
        <f>IF(       0&lt;0.01,"***",IF(       0&lt;0.05,"**",IF(       0&lt;0.1,"*","NS")))</f>
        <v>***</v>
      </c>
    </row>
    <row r="13" spans="1:20">
      <c r="A13" s="15" t="s">
        <v>7</v>
      </c>
      <c r="B13" s="11">
        <v>57.469825181486101</v>
      </c>
      <c r="C13" s="11">
        <v>60.895850825299313</v>
      </c>
      <c r="D13" s="11">
        <v>3.4260256438131935</v>
      </c>
      <c r="E13" s="12" t="str">
        <f>IF(       0.392&lt;0.01,"***",IF(       0.392&lt;0.05,"**",IF(       0.392&lt;0.1,"*","NS")))</f>
        <v>NS</v>
      </c>
      <c r="G13" s="15" t="s">
        <v>7</v>
      </c>
      <c r="H13" s="11">
        <v>57.469825181486101</v>
      </c>
      <c r="I13" s="11">
        <v>57.871675924805039</v>
      </c>
      <c r="J13" s="11">
        <v>0.40185074331890813</v>
      </c>
      <c r="K13" s="12" t="str">
        <f>IF(       0.912&lt;0.01,"***",IF(       0.912&lt;0.05,"**",IF(       0.912&lt;0.1,"*","NS")))</f>
        <v>NS</v>
      </c>
      <c r="L13" s="11">
        <v>68.60209863208533</v>
      </c>
      <c r="M13" s="11">
        <v>11.132273450599008</v>
      </c>
      <c r="N13" s="12" t="str">
        <f>IF(       0.063&lt;0.01,"***",IF(       0.063&lt;0.05,"**",IF(       0.063&lt;0.1,"*","NS")))</f>
        <v>*</v>
      </c>
      <c r="P13" s="15" t="s">
        <v>7</v>
      </c>
      <c r="Q13" s="11">
        <v>57.525271102160922</v>
      </c>
      <c r="R13" s="11">
        <v>68.60209863208533</v>
      </c>
      <c r="S13" s="11">
        <v>11.076827529924358</v>
      </c>
      <c r="T13" s="12" t="str">
        <f>IF(       0.05&lt;0.01,"***",IF(       0.05&lt;0.05,"**",IF(       0.05&lt;0.1,"*","NS")))</f>
        <v>*</v>
      </c>
    </row>
    <row r="14" spans="1:20">
      <c r="A14" s="15" t="s">
        <v>8</v>
      </c>
      <c r="B14" s="11">
        <v>88.224344639237827</v>
      </c>
      <c r="C14" s="11">
        <v>91.918522172442763</v>
      </c>
      <c r="D14" s="11">
        <v>3.6941775332050182</v>
      </c>
      <c r="E14" s="12" t="str">
        <f>IF(       0.05&lt;0.01,"***",IF(       0.05&lt;0.05,"**",IF(       0.05&lt;0.1,"*","NS")))</f>
        <v>*</v>
      </c>
      <c r="G14" s="15" t="s">
        <v>8</v>
      </c>
      <c r="H14" s="11">
        <v>88.224344639237827</v>
      </c>
      <c r="I14" s="11">
        <v>91.211751959261633</v>
      </c>
      <c r="J14" s="11">
        <v>2.9874073200238778</v>
      </c>
      <c r="K14" s="12" t="str">
        <f>IF(       0.22&lt;0.01,"***",IF(       0.22&lt;0.05,"**",IF(       0.22&lt;0.1,"*","NS")))</f>
        <v>NS</v>
      </c>
      <c r="L14" s="11">
        <v>93.704472083302647</v>
      </c>
      <c r="M14" s="11">
        <v>5.4801274440649692</v>
      </c>
      <c r="N14" s="12" t="str">
        <f>IF(       0.032&lt;0.01,"***",IF(       0.032&lt;0.05,"**",IF(       0.032&lt;0.1,"*","NS")))</f>
        <v>**</v>
      </c>
      <c r="P14" s="15" t="s">
        <v>8</v>
      </c>
      <c r="Q14" s="11">
        <v>88.494370415746729</v>
      </c>
      <c r="R14" s="11">
        <v>93.704472083302647</v>
      </c>
      <c r="S14" s="11">
        <v>5.2101016675560361</v>
      </c>
      <c r="T14" s="12" t="str">
        <f>IF(       0.042&lt;0.01,"***",IF(       0.042&lt;0.05,"**",IF(       0.042&lt;0.1,"*","NS")))</f>
        <v>**</v>
      </c>
    </row>
    <row r="15" spans="1:20">
      <c r="A15" s="15" t="s">
        <v>10</v>
      </c>
      <c r="B15" s="11">
        <v>74.570493676801973</v>
      </c>
      <c r="C15" s="11">
        <v>76.287204706852762</v>
      </c>
      <c r="D15" s="11">
        <v>1.7167110300507791</v>
      </c>
      <c r="E15" s="12" t="str">
        <f>IF(       0.418&lt;0.01,"***",IF(       0.418&lt;0.05,"**",IF(       0.418&lt;0.1,"*","NS")))</f>
        <v>NS</v>
      </c>
      <c r="G15" s="15" t="s">
        <v>10</v>
      </c>
      <c r="H15" s="11">
        <v>74.570493676801973</v>
      </c>
      <c r="I15" s="11">
        <v>73.25528252397352</v>
      </c>
      <c r="J15" s="11">
        <v>-1.3152111528285437</v>
      </c>
      <c r="K15" s="12" t="str">
        <f>IF(       0.524&lt;0.01,"***",IF(       0.524&lt;0.05,"**",IF(       0.524&lt;0.1,"*","NS")))</f>
        <v>NS</v>
      </c>
      <c r="L15" s="11">
        <v>82.984408209179477</v>
      </c>
      <c r="M15" s="11">
        <v>8.4139145323775555</v>
      </c>
      <c r="N15" s="12" t="str">
        <f>IF(       0.004&lt;0.01,"***",IF(       0.004&lt;0.05,"**",IF(       0.004&lt;0.1,"*","NS")))</f>
        <v>***</v>
      </c>
      <c r="P15" s="15" t="s">
        <v>10</v>
      </c>
      <c r="Q15" s="11">
        <v>74.427317028830302</v>
      </c>
      <c r="R15" s="11">
        <v>82.984408209179477</v>
      </c>
      <c r="S15" s="11">
        <v>8.5570911803487686</v>
      </c>
      <c r="T15" s="12" t="str">
        <f>IF(       0.002&lt;0.01,"***",IF(       0.002&lt;0.05,"**",IF(       0.002&lt;0.1,"*","NS")))</f>
        <v>***</v>
      </c>
    </row>
    <row r="17" spans="1:20">
      <c r="A17" s="15" t="s">
        <v>284</v>
      </c>
      <c r="G17" s="15" t="s">
        <v>285</v>
      </c>
      <c r="P17" s="15" t="s">
        <v>286</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81.777149240748159</v>
      </c>
      <c r="C19" s="11">
        <v>90.228016165815376</v>
      </c>
      <c r="D19" s="11">
        <v>8.4508669250672614</v>
      </c>
      <c r="E19" s="12" t="str">
        <f>IF(       0.001&lt;0.01,"***",IF(       0.001&lt;0.05,"**",IF(       0.001&lt;0.1,"*","NS")))</f>
        <v>***</v>
      </c>
      <c r="G19" s="15" t="s">
        <v>5</v>
      </c>
      <c r="H19" s="11">
        <v>81.777149240748159</v>
      </c>
      <c r="I19" s="11">
        <v>89.911390724054115</v>
      </c>
      <c r="J19" s="11">
        <v>8.1342414833058605</v>
      </c>
      <c r="K19" s="12" t="str">
        <f>IF(       0.002&lt;0.01,"***",IF(       0.002&lt;0.05,"**",IF(       0.002&lt;0.1,"*","NS")))</f>
        <v>***</v>
      </c>
      <c r="L19" s="11">
        <v>90.694786436218607</v>
      </c>
      <c r="M19" s="11">
        <v>8.9176371954705314</v>
      </c>
      <c r="N19" s="12" t="str">
        <f>IF(       0.005&lt;0.01,"***",IF(       0.005&lt;0.05,"**",IF(       0.005&lt;0.1,"*","NS")))</f>
        <v>***</v>
      </c>
      <c r="P19" s="15" t="s">
        <v>5</v>
      </c>
      <c r="Q19" s="11">
        <v>82.534340049699097</v>
      </c>
      <c r="R19" s="11">
        <v>90.694786436218607</v>
      </c>
      <c r="S19" s="11">
        <v>8.1604463865196877</v>
      </c>
      <c r="T19" s="12" t="str">
        <f>IF(       0.008&lt;0.01,"***",IF(       0.008&lt;0.05,"**",IF(       0.008&lt;0.1,"*","NS")))</f>
        <v>***</v>
      </c>
    </row>
    <row r="20" spans="1:20">
      <c r="A20" s="15" t="s">
        <v>6</v>
      </c>
      <c r="B20" s="11">
        <v>76.614510003180598</v>
      </c>
      <c r="C20" s="11">
        <v>85.426659967065959</v>
      </c>
      <c r="D20" s="11">
        <v>8.8121499638852914</v>
      </c>
      <c r="E20" s="12" t="str">
        <f>IF(       0.004&lt;0.01,"***",IF(       0.004&lt;0.05,"**",IF(       0.004&lt;0.1,"*","NS")))</f>
        <v>***</v>
      </c>
      <c r="G20" s="15" t="s">
        <v>6</v>
      </c>
      <c r="H20" s="11">
        <v>76.614510003180598</v>
      </c>
      <c r="I20" s="11">
        <v>81.240481539661744</v>
      </c>
      <c r="J20" s="11">
        <v>4.6259715364811855</v>
      </c>
      <c r="K20" s="12" t="str">
        <f>IF(       0.196&lt;0.01,"***",IF(       0.196&lt;0.05,"**",IF(       0.196&lt;0.1,"*","NS")))</f>
        <v>NS</v>
      </c>
      <c r="L20" s="11">
        <v>95.252585642641804</v>
      </c>
      <c r="M20" s="11">
        <v>18.638075639461341</v>
      </c>
      <c r="N20" s="12" t="str">
        <f>IF(       0&lt;0.01,"***",IF(       0&lt;0.05,"**",IF(       0&lt;0.1,"*","NS")))</f>
        <v>***</v>
      </c>
      <c r="P20" s="15" t="s">
        <v>6</v>
      </c>
      <c r="Q20" s="11">
        <v>77.072599948342926</v>
      </c>
      <c r="R20" s="11">
        <v>95.252585642641804</v>
      </c>
      <c r="S20" s="11">
        <v>18.179985694298452</v>
      </c>
      <c r="T20" s="12" t="str">
        <f>IF(       0&lt;0.01,"***",IF(       0&lt;0.05,"**",IF(       0&lt;0.1,"*","NS")))</f>
        <v>***</v>
      </c>
    </row>
    <row r="21" spans="1:20" ht="15.75" customHeight="1">
      <c r="A21" s="15" t="s">
        <v>7</v>
      </c>
      <c r="B21" s="11">
        <v>48.528416831219879</v>
      </c>
      <c r="C21" s="11">
        <v>51.034015406436367</v>
      </c>
      <c r="D21" s="11">
        <v>2.5055985752165468</v>
      </c>
      <c r="E21" s="12" t="str">
        <f>IF(       0.644&lt;0.01,"***",IF(       0.644&lt;0.05,"**",IF(       0.644&lt;0.1,"*","NS")))</f>
        <v>NS</v>
      </c>
      <c r="G21" s="15" t="s">
        <v>7</v>
      </c>
      <c r="H21" s="11">
        <v>48.528416831219879</v>
      </c>
      <c r="I21" s="11">
        <v>41.749450090096929</v>
      </c>
      <c r="J21" s="11">
        <v>-6.7789667411229129</v>
      </c>
      <c r="K21" s="12" t="str">
        <f>IF(       0.27&lt;0.01,"***",IF(       0.27&lt;0.05,"**",IF(       0.27&lt;0.1,"*","NS")))</f>
        <v>NS</v>
      </c>
      <c r="L21" s="11">
        <v>68.833750632749272</v>
      </c>
      <c r="M21" s="11">
        <v>20.30533380152951</v>
      </c>
      <c r="N21" s="12" t="str">
        <f>IF(       0.007&lt;0.01,"***",IF(       0.007&lt;0.05,"**",IF(       0.007&lt;0.1,"*","NS")))</f>
        <v>***</v>
      </c>
      <c r="P21" s="15" t="s">
        <v>7</v>
      </c>
      <c r="Q21" s="11">
        <v>47.90686268668864</v>
      </c>
      <c r="R21" s="11">
        <v>68.833750632749272</v>
      </c>
      <c r="S21" s="11">
        <v>20.926887946060635</v>
      </c>
      <c r="T21" s="12" t="str">
        <f>IF(       0.005&lt;0.01,"***",IF(       0.005&lt;0.05,"**",IF(       0.005&lt;0.1,"*","NS")))</f>
        <v>***</v>
      </c>
    </row>
    <row r="22" spans="1:20" ht="15.75" customHeight="1">
      <c r="A22" s="15" t="s">
        <v>8</v>
      </c>
      <c r="B22" s="11">
        <v>81.090026317800337</v>
      </c>
      <c r="C22" s="11">
        <v>86.076717033188956</v>
      </c>
      <c r="D22" s="11">
        <v>4.9866907153886117</v>
      </c>
      <c r="E22" s="12" t="str">
        <f>IF(       0.028&lt;0.01,"***",IF(       0.028&lt;0.05,"**",IF(       0.028&lt;0.1,"*","NS")))</f>
        <v>**</v>
      </c>
      <c r="G22" s="15" t="s">
        <v>8</v>
      </c>
      <c r="H22" s="11">
        <v>81.090026317800337</v>
      </c>
      <c r="I22" s="11">
        <v>85.675227950991882</v>
      </c>
      <c r="J22" s="11">
        <v>4.5852016331916126</v>
      </c>
      <c r="K22" s="12" t="str">
        <f>IF(       0.084&lt;0.01,"***",IF(       0.084&lt;0.05,"**",IF(       0.084&lt;0.1,"*","NS")))</f>
        <v>*</v>
      </c>
      <c r="L22" s="11">
        <v>86.973414646767765</v>
      </c>
      <c r="M22" s="11">
        <v>5.8833883289674427</v>
      </c>
      <c r="N22" s="12" t="str">
        <f>IF(       0.078&lt;0.01,"***",IF(       0.078&lt;0.05,"**",IF(       0.078&lt;0.1,"*","NS")))</f>
        <v>*</v>
      </c>
      <c r="P22" s="15" t="s">
        <v>8</v>
      </c>
      <c r="Q22" s="11">
        <v>81.508769285996635</v>
      </c>
      <c r="R22" s="11">
        <v>86.973414646767765</v>
      </c>
      <c r="S22" s="11">
        <v>5.4646453607714305</v>
      </c>
      <c r="T22" s="12" t="str">
        <f>IF(       0.097&lt;0.01,"***",IF(       0.097&lt;0.05,"**",IF(       0.097&lt;0.1,"*","NS")))</f>
        <v>*</v>
      </c>
    </row>
    <row r="23" spans="1:20" ht="15.75" customHeight="1">
      <c r="A23" s="15" t="s">
        <v>10</v>
      </c>
      <c r="B23" s="11">
        <v>67.167937322269026</v>
      </c>
      <c r="C23" s="11">
        <v>73.159731590897664</v>
      </c>
      <c r="D23" s="11">
        <v>5.9917942686285208</v>
      </c>
      <c r="E23" s="12" t="str">
        <f>IF(       0.046&lt;0.01,"***",IF(       0.046&lt;0.05,"**",IF(       0.046&lt;0.1,"*","NS")))</f>
        <v>**</v>
      </c>
      <c r="G23" s="15" t="s">
        <v>10</v>
      </c>
      <c r="H23" s="11">
        <v>67.167937322269026</v>
      </c>
      <c r="I23" s="11">
        <v>68.305004295082981</v>
      </c>
      <c r="J23" s="11">
        <v>1.137066972813932</v>
      </c>
      <c r="K23" s="12" t="str">
        <f>IF(       0.757&lt;0.01,"***",IF(       0.757&lt;0.05,"**",IF(       0.757&lt;0.1,"*","NS")))</f>
        <v>NS</v>
      </c>
      <c r="L23" s="11">
        <v>82.234453702257397</v>
      </c>
      <c r="M23" s="11">
        <v>15.066516379988791</v>
      </c>
      <c r="N23" s="12" t="str">
        <f>IF(       0&lt;0.01,"***",IF(       0&lt;0.05,"**",IF(       0&lt;0.1,"*","NS")))</f>
        <v>***</v>
      </c>
      <c r="P23" s="15" t="s">
        <v>10</v>
      </c>
      <c r="Q23" s="11">
        <v>67.273913462195907</v>
      </c>
      <c r="R23" s="11">
        <v>82.234453702257397</v>
      </c>
      <c r="S23" s="11">
        <v>14.960540240061706</v>
      </c>
      <c r="T23" s="12" t="str">
        <f>IF(       0&lt;0.01,"***",IF(       0&lt;0.05,"**",IF(       0&lt;0.1,"*","NS")))</f>
        <v>***</v>
      </c>
    </row>
    <row r="24" spans="1:20" ht="15.75" customHeight="1"/>
    <row r="25" spans="1:20" ht="15.75" customHeight="1">
      <c r="A25" s="15" t="s">
        <v>287</v>
      </c>
      <c r="G25" s="15" t="s">
        <v>288</v>
      </c>
      <c r="P25" s="15" t="s">
        <v>289</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88.597858674358534</v>
      </c>
      <c r="C27" s="11">
        <v>93.962842577517748</v>
      </c>
      <c r="D27" s="11">
        <v>5.3649839031592146</v>
      </c>
      <c r="E27" s="12" t="str">
        <f>IF(       0&lt;0.01,"***",IF(       0&lt;0.05,"**",IF(       0&lt;0.1,"*","NS")))</f>
        <v>***</v>
      </c>
      <c r="G27" s="15" t="s">
        <v>5</v>
      </c>
      <c r="H27" s="11">
        <v>88.597858674358534</v>
      </c>
      <c r="I27" s="11">
        <v>93.524198646922628</v>
      </c>
      <c r="J27" s="11">
        <v>4.9263399725642447</v>
      </c>
      <c r="K27" s="12" t="str">
        <f>IF(       0.004&lt;0.01,"***",IF(       0.004&lt;0.05,"**",IF(       0.004&lt;0.1,"*","NS")))</f>
        <v>***</v>
      </c>
      <c r="L27" s="11">
        <v>94.611413742763077</v>
      </c>
      <c r="M27" s="11">
        <v>6.0135550684050134</v>
      </c>
      <c r="N27" s="12" t="str">
        <f>IF(       0.001&lt;0.01,"***",IF(       0.001&lt;0.05,"**",IF(       0.001&lt;0.1,"*","NS")))</f>
        <v>***</v>
      </c>
      <c r="P27" s="15" t="s">
        <v>5</v>
      </c>
      <c r="Q27" s="11">
        <v>89.043300328400264</v>
      </c>
      <c r="R27" s="11">
        <v>94.611413742763077</v>
      </c>
      <c r="S27" s="11">
        <v>5.5681134143627959</v>
      </c>
      <c r="T27" s="12" t="str">
        <f>IF(       0.002&lt;0.01,"***",IF(       0.002&lt;0.05,"**",IF(       0.002&lt;0.1,"*","NS")))</f>
        <v>***</v>
      </c>
    </row>
    <row r="28" spans="1:20" ht="15.75" customHeight="1">
      <c r="A28" s="15" t="s">
        <v>6</v>
      </c>
      <c r="B28" s="11">
        <v>86.496163902517978</v>
      </c>
      <c r="C28" s="11">
        <v>93.832104709145653</v>
      </c>
      <c r="D28" s="11">
        <v>7.3359408066278311</v>
      </c>
      <c r="E28" s="12" t="str">
        <f>IF(       0.017&lt;0.01,"***",IF(       0.017&lt;0.05,"**",IF(       0.017&lt;0.1,"*","NS")))</f>
        <v>**</v>
      </c>
      <c r="G28" s="15" t="s">
        <v>6</v>
      </c>
      <c r="H28" s="11">
        <v>86.496163902517978</v>
      </c>
      <c r="I28" s="11">
        <v>91.545804983031502</v>
      </c>
      <c r="J28" s="11">
        <v>5.0496410805135792</v>
      </c>
      <c r="K28" s="12" t="str">
        <f>IF(       0.218&lt;0.01,"***",IF(       0.218&lt;0.05,"**",IF(       0.218&lt;0.1,"*","NS")))</f>
        <v>NS</v>
      </c>
      <c r="L28" s="11">
        <v>99.024067310797705</v>
      </c>
      <c r="M28" s="11">
        <v>12.527903408279782</v>
      </c>
      <c r="N28" s="12" t="str">
        <f t="shared" ref="N28:N31" si="2">IF(       0&lt;0.01,"***",IF(       0&lt;0.05,"**",IF(       0&lt;0.1,"*","NS")))</f>
        <v>***</v>
      </c>
      <c r="P28" s="15" t="s">
        <v>6</v>
      </c>
      <c r="Q28" s="11">
        <v>86.951258357238672</v>
      </c>
      <c r="R28" s="11">
        <v>99.024067310797705</v>
      </c>
      <c r="S28" s="11">
        <v>12.072808953559054</v>
      </c>
      <c r="T28" s="12" t="str">
        <f t="shared" ref="T28:T29" si="3">IF(       0&lt;0.01,"***",IF(       0&lt;0.05,"**",IF(       0&lt;0.1,"*","NS")))</f>
        <v>***</v>
      </c>
    </row>
    <row r="29" spans="1:20" ht="15.75" customHeight="1">
      <c r="A29" s="15" t="s">
        <v>7</v>
      </c>
      <c r="B29" s="11">
        <v>69.672153925168359</v>
      </c>
      <c r="C29" s="11">
        <v>86.157099762119458</v>
      </c>
      <c r="D29" s="11">
        <v>16.484945836951383</v>
      </c>
      <c r="E29" s="12" t="str">
        <f>IF(       0&lt;0.01,"***",IF(       0&lt;0.05,"**",IF(       0&lt;0.1,"*","NS")))</f>
        <v>***</v>
      </c>
      <c r="G29" s="15" t="s">
        <v>7</v>
      </c>
      <c r="H29" s="11">
        <v>69.672153925168359</v>
      </c>
      <c r="I29" s="11">
        <v>81.634669937283448</v>
      </c>
      <c r="J29" s="11">
        <v>11.962516012114706</v>
      </c>
      <c r="K29" s="12" t="str">
        <f>IF(       0.007&lt;0.01,"***",IF(       0.007&lt;0.05,"**",IF(       0.007&lt;0.1,"*","NS")))</f>
        <v>***</v>
      </c>
      <c r="L29" s="11">
        <v>94.631743361596747</v>
      </c>
      <c r="M29" s="11">
        <v>24.959589436428455</v>
      </c>
      <c r="N29" s="12" t="str">
        <f t="shared" si="2"/>
        <v>***</v>
      </c>
      <c r="P29" s="15" t="s">
        <v>7</v>
      </c>
      <c r="Q29" s="11">
        <v>71.00265297578882</v>
      </c>
      <c r="R29" s="11">
        <v>94.631743361596747</v>
      </c>
      <c r="S29" s="11">
        <v>23.629090385808123</v>
      </c>
      <c r="T29" s="12" t="str">
        <f t="shared" si="3"/>
        <v>***</v>
      </c>
    </row>
    <row r="30" spans="1:20" ht="15.75" customHeight="1">
      <c r="A30" s="15" t="s">
        <v>8</v>
      </c>
      <c r="B30" s="11">
        <v>92.02834264390961</v>
      </c>
      <c r="C30" s="11">
        <v>95.998350554340462</v>
      </c>
      <c r="D30" s="11">
        <v>3.9700079104309665</v>
      </c>
      <c r="E30" s="12" t="str">
        <f>IF(       0.005&lt;0.01,"***",IF(       0.005&lt;0.05,"**",IF(       0.005&lt;0.1,"*","NS")))</f>
        <v>***</v>
      </c>
      <c r="G30" s="15" t="s">
        <v>8</v>
      </c>
      <c r="H30" s="11">
        <v>92.02834264390961</v>
      </c>
      <c r="I30" s="11">
        <v>95.617904441445347</v>
      </c>
      <c r="J30" s="11">
        <v>3.5895617975357732</v>
      </c>
      <c r="K30" s="12" t="str">
        <f>IF(       0.061&lt;0.01,"***",IF(       0.061&lt;0.05,"**",IF(       0.061&lt;0.1,"*","NS")))</f>
        <v>*</v>
      </c>
      <c r="L30" s="11">
        <v>96.914068434101253</v>
      </c>
      <c r="M30" s="11">
        <v>4.8857257901916125</v>
      </c>
      <c r="N30" s="12" t="str">
        <f t="shared" si="2"/>
        <v>***</v>
      </c>
      <c r="P30" s="15" t="s">
        <v>8</v>
      </c>
      <c r="Q30" s="11">
        <v>92.360266553593362</v>
      </c>
      <c r="R30" s="11">
        <v>96.914068434101253</v>
      </c>
      <c r="S30" s="11">
        <v>4.553801880507824</v>
      </c>
      <c r="T30" s="12" t="str">
        <f>IF(       0.001&lt;0.01,"***",IF(       0.001&lt;0.05,"**",IF(       0.001&lt;0.1,"*","NS")))</f>
        <v>***</v>
      </c>
    </row>
    <row r="31" spans="1:20" ht="15.75" customHeight="1">
      <c r="A31" s="15" t="s">
        <v>10</v>
      </c>
      <c r="B31" s="11">
        <v>86.254429078068469</v>
      </c>
      <c r="C31" s="11">
        <v>93.040706234965626</v>
      </c>
      <c r="D31" s="11">
        <v>6.7862771568973201</v>
      </c>
      <c r="E31" s="12" t="str">
        <f>IF(       0&lt;0.01,"***",IF(       0&lt;0.05,"**",IF(       0&lt;0.1,"*","NS")))</f>
        <v>***</v>
      </c>
      <c r="G31" s="15" t="s">
        <v>10</v>
      </c>
      <c r="H31" s="11">
        <v>86.254429078068469</v>
      </c>
      <c r="I31" s="11">
        <v>91.564340384018863</v>
      </c>
      <c r="J31" s="11">
        <v>5.3099113059504379</v>
      </c>
      <c r="K31" s="12" t="str">
        <f>IF(       0&lt;0.01,"***",IF(       0&lt;0.05,"**",IF(       0&lt;0.1,"*","NS")))</f>
        <v>***</v>
      </c>
      <c r="L31" s="11">
        <v>95.723021540665627</v>
      </c>
      <c r="M31" s="11">
        <v>9.4685924625974405</v>
      </c>
      <c r="N31" s="12" t="str">
        <f t="shared" si="2"/>
        <v>***</v>
      </c>
      <c r="P31" s="15" t="s">
        <v>10</v>
      </c>
      <c r="Q31" s="11">
        <v>86.751566100231187</v>
      </c>
      <c r="R31" s="11">
        <v>95.723021540665627</v>
      </c>
      <c r="S31" s="11">
        <v>8.9714554404355624</v>
      </c>
      <c r="T31" s="12" t="str">
        <f>IF(       0&lt;0.01,"***",IF(       0&lt;0.05,"**",IF(       0&lt;0.1,"*","NS")))</f>
        <v>***</v>
      </c>
    </row>
    <row r="32" spans="1:20" ht="15.75" customHeight="1"/>
    <row r="33" spans="1:20" ht="15.75" customHeight="1">
      <c r="A33" s="15" t="s">
        <v>290</v>
      </c>
      <c r="G33" s="15" t="s">
        <v>291</v>
      </c>
      <c r="P33" s="15" t="s">
        <v>292</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65.830384668002011</v>
      </c>
      <c r="C35" s="11">
        <v>77.205327111083093</v>
      </c>
      <c r="D35" s="11">
        <v>11.374942443081103</v>
      </c>
      <c r="E35" s="12" t="str">
        <f>IF(       0&lt;0.01,"***",IF(       0&lt;0.05,"**",IF(       0&lt;0.1,"*","NS")))</f>
        <v>***</v>
      </c>
      <c r="G35" s="15" t="s">
        <v>5</v>
      </c>
      <c r="H35" s="11">
        <v>65.830384668002011</v>
      </c>
      <c r="I35" s="11">
        <v>75.741416450137933</v>
      </c>
      <c r="J35" s="11">
        <v>9.9110317821363907</v>
      </c>
      <c r="K35" s="12" t="str">
        <f>IF(       0.001&lt;0.01,"***",IF(       0.001&lt;0.05,"**",IF(       0.001&lt;0.1,"*","NS")))</f>
        <v>***</v>
      </c>
      <c r="L35" s="11">
        <v>79.626413290074794</v>
      </c>
      <c r="M35" s="11">
        <v>13.796028622072811</v>
      </c>
      <c r="N35" s="12" t="str">
        <f>IF(       0.002&lt;0.01,"***",IF(       0.002&lt;0.05,"**",IF(       0.002&lt;0.1,"*","NS")))</f>
        <v>***</v>
      </c>
      <c r="P35" s="15" t="s">
        <v>5</v>
      </c>
      <c r="Q35" s="11">
        <v>66.782444776023539</v>
      </c>
      <c r="R35" s="11">
        <v>79.626413290074794</v>
      </c>
      <c r="S35" s="11">
        <v>12.84396851405126</v>
      </c>
      <c r="T35" s="12" t="str">
        <f t="shared" ref="T35:T36" si="4">IF(       0.003&lt;0.01,"***",IF(       0.003&lt;0.05,"**",IF(       0.003&lt;0.1,"*","NS")))</f>
        <v>***</v>
      </c>
    </row>
    <row r="36" spans="1:20" ht="15.75" customHeight="1">
      <c r="A36" s="15" t="s">
        <v>6</v>
      </c>
      <c r="B36" s="11">
        <v>61.899590665444883</v>
      </c>
      <c r="C36" s="11">
        <v>69.014492919114304</v>
      </c>
      <c r="D36" s="11">
        <v>7.1149022536694657</v>
      </c>
      <c r="E36" s="12" t="str">
        <f>IF(       0.088&lt;0.01,"***",IF(       0.088&lt;0.05,"**",IF(       0.088&lt;0.1,"*","NS")))</f>
        <v>*</v>
      </c>
      <c r="G36" s="15" t="s">
        <v>6</v>
      </c>
      <c r="H36" s="11">
        <v>61.899590665444883</v>
      </c>
      <c r="I36" s="11">
        <v>63.358470154886248</v>
      </c>
      <c r="J36" s="11">
        <v>1.4588794894413799</v>
      </c>
      <c r="K36" s="12" t="str">
        <f>IF(       0.701&lt;0.01,"***",IF(       0.701&lt;0.05,"**",IF(       0.701&lt;0.1,"*","NS")))</f>
        <v>NS</v>
      </c>
      <c r="L36" s="11">
        <v>88.069516012675038</v>
      </c>
      <c r="M36" s="11">
        <v>26.169925347230091</v>
      </c>
      <c r="N36" s="12" t="str">
        <f>IF(       0.003&lt;0.01,"***",IF(       0.003&lt;0.05,"**",IF(       0.003&lt;0.1,"*","NS")))</f>
        <v>***</v>
      </c>
      <c r="P36" s="15" t="s">
        <v>6</v>
      </c>
      <c r="Q36" s="11">
        <v>62.049878302455433</v>
      </c>
      <c r="R36" s="11">
        <v>88.069516012675038</v>
      </c>
      <c r="S36" s="11">
        <v>26.019637710219609</v>
      </c>
      <c r="T36" s="12" t="str">
        <f t="shared" si="4"/>
        <v>***</v>
      </c>
    </row>
    <row r="37" spans="1:20" ht="15.75" customHeight="1">
      <c r="A37" s="15" t="s">
        <v>7</v>
      </c>
      <c r="B37" s="11">
        <v>49.761192869029841</v>
      </c>
      <c r="C37" s="11">
        <v>50.833376736702427</v>
      </c>
      <c r="D37" s="11">
        <v>1.0721838676725941</v>
      </c>
      <c r="E37" s="12" t="str">
        <f>IF(       0.812&lt;0.01,"***",IF(       0.812&lt;0.05,"**",IF(       0.812&lt;0.1,"*","NS")))</f>
        <v>NS</v>
      </c>
      <c r="G37" s="15" t="s">
        <v>7</v>
      </c>
      <c r="H37" s="11">
        <v>49.761192869029841</v>
      </c>
      <c r="I37" s="11">
        <v>46.216116341286543</v>
      </c>
      <c r="J37" s="11">
        <v>-3.5450765277432486</v>
      </c>
      <c r="K37" s="12" t="str">
        <f>IF(       0.435&lt;0.01,"***",IF(       0.435&lt;0.05,"**",IF(       0.435&lt;0.1,"*","NS")))</f>
        <v>NS</v>
      </c>
      <c r="L37" s="11">
        <v>61.888266671442253</v>
      </c>
      <c r="M37" s="11">
        <v>12.127073802412594</v>
      </c>
      <c r="N37" s="12" t="str">
        <f>IF(       0.069&lt;0.01,"***",IF(       0.069&lt;0.05,"**",IF(       0.069&lt;0.1,"*","NS")))</f>
        <v>*</v>
      </c>
      <c r="P37" s="15" t="s">
        <v>7</v>
      </c>
      <c r="Q37" s="11">
        <v>49.340466287334081</v>
      </c>
      <c r="R37" s="11">
        <v>61.888266671442253</v>
      </c>
      <c r="S37" s="11">
        <v>12.54780038410839</v>
      </c>
      <c r="T37" s="12" t="str">
        <f>IF(       0.051&lt;0.01,"***",IF(       0.051&lt;0.05,"**",IF(       0.051&lt;0.1,"*","NS")))</f>
        <v>*</v>
      </c>
    </row>
    <row r="38" spans="1:20" ht="15.75" customHeight="1">
      <c r="A38" s="15" t="s">
        <v>8</v>
      </c>
      <c r="B38" s="11">
        <v>69.147421300303662</v>
      </c>
      <c r="C38" s="11">
        <v>73.074117282354337</v>
      </c>
      <c r="D38" s="11">
        <v>3.9266959820507061</v>
      </c>
      <c r="E38" s="12" t="str">
        <f>IF(       0.307&lt;0.01,"***",IF(       0.307&lt;0.05,"**",IF(       0.307&lt;0.1,"*","NS")))</f>
        <v>NS</v>
      </c>
      <c r="G38" s="15" t="s">
        <v>8</v>
      </c>
      <c r="H38" s="11">
        <v>69.147421300303662</v>
      </c>
      <c r="I38" s="11">
        <v>72.080740552458593</v>
      </c>
      <c r="J38" s="11">
        <v>2.9333192521549547</v>
      </c>
      <c r="K38" s="12" t="str">
        <f>IF(       0.43&lt;0.01,"***",IF(       0.43&lt;0.05,"**",IF(       0.43&lt;0.1,"*","NS")))</f>
        <v>NS</v>
      </c>
      <c r="L38" s="11">
        <v>75.381571049593305</v>
      </c>
      <c r="M38" s="11">
        <v>6.2341497492894948</v>
      </c>
      <c r="N38" s="12" t="str">
        <f>IF(       0.278&lt;0.01,"***",IF(       0.278&lt;0.05,"**",IF(       0.278&lt;0.1,"*","NS")))</f>
        <v>NS</v>
      </c>
      <c r="P38" s="15" t="s">
        <v>8</v>
      </c>
      <c r="Q38" s="11">
        <v>69.403026537104992</v>
      </c>
      <c r="R38" s="11">
        <v>75.381571049593305</v>
      </c>
      <c r="S38" s="11">
        <v>5.9785445124883507</v>
      </c>
      <c r="T38" s="12" t="str">
        <f>IF(       0.284&lt;0.01,"***",IF(       0.284&lt;0.05,"**",IF(       0.284&lt;0.1,"*","NS")))</f>
        <v>NS</v>
      </c>
    </row>
    <row r="39" spans="1:20" ht="15.75" customHeight="1">
      <c r="A39" s="15" t="s">
        <v>10</v>
      </c>
      <c r="B39" s="11">
        <v>54.952590812338379</v>
      </c>
      <c r="C39" s="11">
        <v>57.229944292696032</v>
      </c>
      <c r="D39" s="11">
        <v>2.2773534803576543</v>
      </c>
      <c r="E39" s="12" t="str">
        <f>IF(       0.506&lt;0.01,"***",IF(       0.506&lt;0.05,"**",IF(       0.506&lt;0.1,"*","NS")))</f>
        <v>NS</v>
      </c>
      <c r="G39" s="15" t="s">
        <v>10</v>
      </c>
      <c r="H39" s="11">
        <v>54.952590812338379</v>
      </c>
      <c r="I39" s="11">
        <v>52.925169847379827</v>
      </c>
      <c r="J39" s="11">
        <v>-2.0274209649585209</v>
      </c>
      <c r="K39" s="12" t="str">
        <f>IF(       0.559&lt;0.01,"***",IF(       0.559&lt;0.05,"**",IF(       0.559&lt;0.1,"*","NS")))</f>
        <v>NS</v>
      </c>
      <c r="L39" s="11">
        <v>67.338451923237358</v>
      </c>
      <c r="M39" s="11">
        <v>12.385861110899331</v>
      </c>
      <c r="N39" s="12" t="str">
        <f>IF(       0.012&lt;0.01,"***",IF(       0.012&lt;0.05,"**",IF(       0.012&lt;0.1,"*","NS")))</f>
        <v>**</v>
      </c>
      <c r="P39" s="15" t="s">
        <v>10</v>
      </c>
      <c r="Q39" s="11">
        <v>54.727039239760217</v>
      </c>
      <c r="R39" s="11">
        <v>67.338451923237358</v>
      </c>
      <c r="S39" s="11">
        <v>12.611412683476527</v>
      </c>
      <c r="T39" s="12" t="str">
        <f>IF(       0.008&lt;0.01,"***",IF(       0.008&lt;0.05,"**",IF(       0.008&lt;0.1,"*","NS")))</f>
        <v>***</v>
      </c>
    </row>
    <row r="40" spans="1:20" ht="15.75" customHeight="1"/>
    <row r="41" spans="1:20" ht="15.75" customHeight="1">
      <c r="A41" s="15" t="s">
        <v>293</v>
      </c>
      <c r="G41" s="15" t="s">
        <v>294</v>
      </c>
      <c r="P41" s="15" t="s">
        <v>295</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81.36464649353583</v>
      </c>
      <c r="C43" s="11">
        <v>81.393515990950434</v>
      </c>
      <c r="D43" s="11">
        <v>2.8869497414594276E-2</v>
      </c>
      <c r="E43" s="12" t="str">
        <f>IF(       0.99&lt;0.01,"***",IF(       0.99&lt;0.05,"**",IF(       0.99&lt;0.1,"*","NS")))</f>
        <v>NS</v>
      </c>
      <c r="G43" s="15" t="s">
        <v>5</v>
      </c>
      <c r="H43" s="11">
        <v>81.36464649353583</v>
      </c>
      <c r="I43" s="11">
        <v>76.953736565396426</v>
      </c>
      <c r="J43" s="11">
        <v>-4.4109099281394117</v>
      </c>
      <c r="K43" s="12" t="str">
        <f>IF(       0.181&lt;0.01,"***",IF(       0.181&lt;0.05,"**",IF(       0.181&lt;0.1,"*","NS")))</f>
        <v>NS</v>
      </c>
      <c r="L43" s="11">
        <v>88.111900054104026</v>
      </c>
      <c r="M43" s="11">
        <v>6.747253560568252</v>
      </c>
      <c r="N43" s="12" t="str">
        <f>IF(       0.77&lt;0.01,"***",IF(       0.77&lt;0.05,"**",IF(       0.77&lt;0.1,"*","NS")))</f>
        <v>NS</v>
      </c>
      <c r="P43" s="15" t="s">
        <v>5</v>
      </c>
      <c r="Q43" s="11">
        <v>81.213224861054513</v>
      </c>
      <c r="R43" s="11">
        <v>88.111900054104026</v>
      </c>
      <c r="S43" s="11">
        <v>6.8986751930495256</v>
      </c>
      <c r="T43" s="12" t="str">
        <f>IF(       0.014&lt;0.01,"***",IF(       0.014&lt;0.05,"**",IF(       0.014&lt;0.1,"*","NS")))</f>
        <v>**</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48.952749207423373</v>
      </c>
      <c r="C45" s="11">
        <v>43.434106096388987</v>
      </c>
      <c r="D45" s="11">
        <v>-5.5186431110344101</v>
      </c>
      <c r="E45" s="12" t="str">
        <f>IF(       0.126&lt;0.01,"***",IF(       0.126&lt;0.05,"**",IF(       0.126&lt;0.1,"*","NS")))</f>
        <v>NS</v>
      </c>
      <c r="G45" s="15" t="s">
        <v>7</v>
      </c>
      <c r="H45" s="11">
        <v>48.952749207423373</v>
      </c>
      <c r="I45" s="11">
        <v>38.563475775299359</v>
      </c>
      <c r="J45" s="11">
        <v>-10.389273432124218</v>
      </c>
      <c r="K45" s="12" t="str">
        <f>IF(       0.005&lt;0.01,"***",IF(       0.005&lt;0.05,"**",IF(       0.005&lt;0.1,"*","NS")))</f>
        <v>***</v>
      </c>
      <c r="L45" s="11">
        <v>61.385372477112803</v>
      </c>
      <c r="M45" s="11">
        <v>12.432623269689106</v>
      </c>
      <c r="N45" s="12" t="str">
        <f>IF(       0&lt;0.01,"***",IF(       0&lt;0.05,"**",IF(       0&lt;0.1,"*","NS")))</f>
        <v>***</v>
      </c>
      <c r="P45" s="15" t="s">
        <v>7</v>
      </c>
      <c r="Q45" s="11">
        <v>48.244985006574979</v>
      </c>
      <c r="R45" s="11">
        <v>61.385372477112803</v>
      </c>
      <c r="S45" s="11">
        <v>13.140387470537643</v>
      </c>
      <c r="T45" s="12" t="str">
        <f>IF(       0.115&lt;0.01,"***",IF(       0.115&lt;0.05,"**",IF(       0.115&lt;0.1,"*","NS")))</f>
        <v>NS</v>
      </c>
    </row>
    <row r="46" spans="1:20" ht="15.75" customHeight="1">
      <c r="A46" s="15" t="s">
        <v>8</v>
      </c>
      <c r="B46" s="11">
        <v>82.346929859832699</v>
      </c>
      <c r="C46" s="11">
        <v>80.853019178759638</v>
      </c>
      <c r="D46" s="11">
        <v>-1.4939106810731198</v>
      </c>
      <c r="E46" s="12" t="str">
        <f>IF(       0.641&lt;0.01,"***",IF(       0.641&lt;0.05,"**",IF(       0.641&lt;0.1,"*","NS")))</f>
        <v>NS</v>
      </c>
      <c r="G46" s="15" t="s">
        <v>8</v>
      </c>
      <c r="H46" s="11">
        <v>82.346929859832699</v>
      </c>
      <c r="I46" s="11">
        <v>80.575150942048523</v>
      </c>
      <c r="J46" s="11">
        <v>-1.7717789177841363</v>
      </c>
      <c r="K46" s="12" t="str">
        <f>IF(       0.62&lt;0.01,"***",IF(       0.62&lt;0.05,"**",IF(       0.62&lt;0.1,"*","NS")))</f>
        <v>NS</v>
      </c>
      <c r="L46" s="11">
        <v>81.847044346962832</v>
      </c>
      <c r="M46" s="11">
        <v>-0.49988551286987326</v>
      </c>
      <c r="N46" s="12" t="str">
        <f>IF(       0.136&lt;0.01,"***",IF(       0.136&lt;0.05,"**",IF(       0.136&lt;0.1,"*","NS")))</f>
        <v>NS</v>
      </c>
      <c r="P46" s="15" t="s">
        <v>8</v>
      </c>
      <c r="Q46" s="11">
        <v>82.264243362482162</v>
      </c>
      <c r="R46" s="11">
        <v>81.847044346962832</v>
      </c>
      <c r="S46" s="11">
        <v>-0.41719901551934524</v>
      </c>
      <c r="T46" s="12" t="str">
        <f>IF(       0.938&lt;0.01,"***",IF(       0.938&lt;0.05,"**",IF(       0.938&lt;0.1,"*","NS")))</f>
        <v>NS</v>
      </c>
    </row>
    <row r="47" spans="1:20" ht="15.75" customHeight="1">
      <c r="A47" s="15" t="s">
        <v>10</v>
      </c>
      <c r="B47" s="11">
        <v>67.648115689822802</v>
      </c>
      <c r="C47" s="11">
        <v>61.313670229695887</v>
      </c>
      <c r="D47" s="11">
        <v>-6.3344454601269806</v>
      </c>
      <c r="E47" s="12" t="str">
        <f>IF(       0.006&lt;0.01,"***",IF(       0.006&lt;0.05,"**",IF(       0.006&lt;0.1,"*","NS")))</f>
        <v>***</v>
      </c>
      <c r="G47" s="15" t="s">
        <v>10</v>
      </c>
      <c r="H47" s="11">
        <v>67.648115689822802</v>
      </c>
      <c r="I47" s="11">
        <v>55.418533722780381</v>
      </c>
      <c r="J47" s="11">
        <v>-12.229581967043679</v>
      </c>
      <c r="K47" s="12" t="str">
        <f>IF(       0&lt;0.01,"***",IF(       0&lt;0.05,"**",IF(       0&lt;0.1,"*","NS")))</f>
        <v>***</v>
      </c>
      <c r="L47" s="11">
        <v>77.798610767639957</v>
      </c>
      <c r="M47" s="11">
        <v>10.150495077817654</v>
      </c>
      <c r="N47" s="12" t="str">
        <f>IF(       0.009&lt;0.01,"***",IF(       0.009&lt;0.05,"**",IF(       0.009&lt;0.1,"*","NS")))</f>
        <v>***</v>
      </c>
      <c r="P47" s="15" t="s">
        <v>10</v>
      </c>
      <c r="Q47" s="11">
        <v>67.02991177241131</v>
      </c>
      <c r="R47" s="11">
        <v>77.798610767639957</v>
      </c>
      <c r="S47" s="11">
        <v>10.768698995228892</v>
      </c>
      <c r="T47" s="12" t="str">
        <f>IF(       0.006&lt;0.01,"***",IF(       0.006&lt;0.05,"**",IF(       0.006&lt;0.1,"*","NS")))</f>
        <v>***</v>
      </c>
    </row>
    <row r="48" spans="1:20" ht="15.75" customHeight="1"/>
    <row r="49" spans="1:20" ht="15.75" customHeight="1">
      <c r="A49" s="15" t="s">
        <v>296</v>
      </c>
      <c r="G49" s="15" t="s">
        <v>297</v>
      </c>
      <c r="P49" s="15" t="s">
        <v>298</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93.387325782903758</v>
      </c>
      <c r="C51" s="11">
        <v>93.992150841809774</v>
      </c>
      <c r="D51" s="11">
        <v>0.60482505890601923</v>
      </c>
      <c r="E51" s="12" t="str">
        <f>IF(       0.545&lt;0.01,"***",IF(       0.545&lt;0.05,"**",IF(       0.545&lt;0.1,"*","NS")))</f>
        <v>NS</v>
      </c>
      <c r="G51" s="15" t="s">
        <v>5</v>
      </c>
      <c r="H51" s="11">
        <v>93.387325782903758</v>
      </c>
      <c r="I51" s="11">
        <v>94.604400678362325</v>
      </c>
      <c r="J51" s="11">
        <v>1.2170748954585713</v>
      </c>
      <c r="K51" s="12" t="str">
        <f>IF(       0.31&lt;0.01,"***",IF(       0.31&lt;0.05,"**",IF(       0.31&lt;0.1,"*","NS")))</f>
        <v>NS</v>
      </c>
      <c r="L51" s="11">
        <v>93.066228174112553</v>
      </c>
      <c r="M51" s="11">
        <v>-0.32109760879120808</v>
      </c>
      <c r="N51" s="12" t="str">
        <f>IF(       0.837&lt;0.01,"***",IF(       0.837&lt;0.05,"**",IF(       0.837&lt;0.1,"*","NS")))</f>
        <v>NS</v>
      </c>
      <c r="P51" s="15" t="s">
        <v>5</v>
      </c>
      <c r="Q51" s="11">
        <v>93.690044552634959</v>
      </c>
      <c r="R51" s="11">
        <v>93.066228174112553</v>
      </c>
      <c r="S51" s="11">
        <v>-0.62381637852241201</v>
      </c>
      <c r="T51" s="12" t="str">
        <f>IF(       0.688&lt;0.01,"***",IF(       0.688&lt;0.05,"**",IF(       0.688&lt;0.1,"*","NS")))</f>
        <v>NS</v>
      </c>
    </row>
    <row r="52" spans="1:20" ht="15.75" customHeight="1">
      <c r="A52" s="15" t="s">
        <v>6</v>
      </c>
      <c r="B52" s="11">
        <v>92.231337918492528</v>
      </c>
      <c r="C52" s="11">
        <v>90.477179506137531</v>
      </c>
      <c r="D52" s="11">
        <v>-1.7541584123550011</v>
      </c>
      <c r="E52" s="12" t="str">
        <f>IF(       0.416&lt;0.01,"***",IF(       0.416&lt;0.05,"**",IF(       0.416&lt;0.1,"*","NS")))</f>
        <v>NS</v>
      </c>
      <c r="G52" s="15" t="s">
        <v>6</v>
      </c>
      <c r="H52" s="11">
        <v>92.231337918492528</v>
      </c>
      <c r="I52" s="11">
        <v>88.438959869730368</v>
      </c>
      <c r="J52" s="11">
        <v>-3.7923780487620888</v>
      </c>
      <c r="K52" s="12" t="str">
        <f>IF(       0.151&lt;0.01,"***",IF(       0.151&lt;0.05,"**",IF(       0.151&lt;0.1,"*","NS")))</f>
        <v>NS</v>
      </c>
      <c r="L52" s="11">
        <v>95.403461747677468</v>
      </c>
      <c r="M52" s="11">
        <v>3.1721238291850051</v>
      </c>
      <c r="N52" s="12" t="str">
        <f>IF(       0.18&lt;0.01,"***",IF(       0.18&lt;0.05,"**",IF(       0.18&lt;0.1,"*","NS")))</f>
        <v>NS</v>
      </c>
      <c r="P52" s="15" t="s">
        <v>6</v>
      </c>
      <c r="Q52" s="11">
        <v>91.343504276803841</v>
      </c>
      <c r="R52" s="11">
        <v>95.403461747677468</v>
      </c>
      <c r="S52" s="11">
        <v>4.0599574708735968</v>
      </c>
      <c r="T52" s="12" t="str">
        <f>IF(       0.071&lt;0.01,"***",IF(       0.071&lt;0.05,"**",IF(       0.071&lt;0.1,"*","NS")))</f>
        <v>*</v>
      </c>
    </row>
    <row r="53" spans="1:20" ht="15.75" customHeight="1">
      <c r="A53" s="15" t="s">
        <v>7</v>
      </c>
      <c r="B53" s="11">
        <v>68.629645698018763</v>
      </c>
      <c r="C53" s="11">
        <v>65.633563039349113</v>
      </c>
      <c r="D53" s="11">
        <v>-2.9960826586697413</v>
      </c>
      <c r="E53" s="12" t="str">
        <f>IF(       0.56&lt;0.01,"***",IF(       0.56&lt;0.05,"**",IF(       0.56&lt;0.1,"*","NS")))</f>
        <v>NS</v>
      </c>
      <c r="G53" s="15" t="s">
        <v>7</v>
      </c>
      <c r="H53" s="11">
        <v>68.629645698018763</v>
      </c>
      <c r="I53" s="11">
        <v>62.438334992622899</v>
      </c>
      <c r="J53" s="11">
        <v>-6.1913107053958427</v>
      </c>
      <c r="K53" s="12" t="str">
        <f>IF(       0.278&lt;0.01,"***",IF(       0.278&lt;0.05,"**",IF(       0.278&lt;0.1,"*","NS")))</f>
        <v>NS</v>
      </c>
      <c r="L53" s="11">
        <v>71.329165534965441</v>
      </c>
      <c r="M53" s="11">
        <v>2.6995198369466737</v>
      </c>
      <c r="N53" s="12" t="str">
        <f>IF(       0.627&lt;0.01,"***",IF(       0.627&lt;0.05,"**",IF(       0.627&lt;0.1,"*","NS")))</f>
        <v>NS</v>
      </c>
      <c r="P53" s="15" t="s">
        <v>7</v>
      </c>
      <c r="Q53" s="11">
        <v>67.059423357406843</v>
      </c>
      <c r="R53" s="11">
        <v>71.329165534965441</v>
      </c>
      <c r="S53" s="11">
        <v>4.2697421775585971</v>
      </c>
      <c r="T53" s="12" t="str">
        <f>IF(       0.377&lt;0.01,"***",IF(       0.377&lt;0.05,"**",IF(       0.377&lt;0.1,"*","NS")))</f>
        <v>NS</v>
      </c>
    </row>
    <row r="54" spans="1:20" ht="15.75" customHeight="1">
      <c r="A54" s="15" t="s">
        <v>8</v>
      </c>
      <c r="B54" s="11">
        <v>92.057027904497289</v>
      </c>
      <c r="C54" s="11">
        <v>93.129523374346931</v>
      </c>
      <c r="D54" s="11">
        <v>1.0724954698496523</v>
      </c>
      <c r="E54" s="12" t="str">
        <f>IF(       0.587&lt;0.01,"***",IF(       0.587&lt;0.05,"**",IF(       0.587&lt;0.1,"*","NS")))</f>
        <v>NS</v>
      </c>
      <c r="G54" s="15" t="s">
        <v>8</v>
      </c>
      <c r="H54" s="11">
        <v>92.057027904497289</v>
      </c>
      <c r="I54" s="11">
        <v>93.168936227667928</v>
      </c>
      <c r="J54" s="11">
        <v>1.1119083231706346</v>
      </c>
      <c r="K54" s="12" t="str">
        <f>IF(       0.628&lt;0.01,"***",IF(       0.628&lt;0.05,"**",IF(       0.628&lt;0.1,"*","NS")))</f>
        <v>NS</v>
      </c>
      <c r="L54" s="11">
        <v>93.050515509286626</v>
      </c>
      <c r="M54" s="11">
        <v>0.99348760478932296</v>
      </c>
      <c r="N54" s="12" t="str">
        <f>IF(       0.683&lt;0.01,"***",IF(       0.683&lt;0.05,"**",IF(       0.683&lt;0.1,"*","NS")))</f>
        <v>NS</v>
      </c>
      <c r="P54" s="15" t="s">
        <v>8</v>
      </c>
      <c r="Q54" s="11">
        <v>92.272749742459141</v>
      </c>
      <c r="R54" s="11">
        <v>93.050515509286626</v>
      </c>
      <c r="S54" s="11">
        <v>0.77776576682748588</v>
      </c>
      <c r="T54" s="12" t="str">
        <f>IF(       0.736&lt;0.01,"***",IF(       0.736&lt;0.05,"**",IF(       0.736&lt;0.1,"*","NS")))</f>
        <v>NS</v>
      </c>
    </row>
    <row r="55" spans="1:20" ht="15.75" customHeight="1">
      <c r="A55" s="15" t="s">
        <v>10</v>
      </c>
      <c r="B55" s="11">
        <v>83.603706953941852</v>
      </c>
      <c r="C55" s="11">
        <v>81.726433781307747</v>
      </c>
      <c r="D55" s="11">
        <v>-1.8772731726340659</v>
      </c>
      <c r="E55" s="12" t="str">
        <f>IF(       0.434&lt;0.01,"***",IF(       0.434&lt;0.05,"**",IF(       0.434&lt;0.1,"*","NS")))</f>
        <v>NS</v>
      </c>
      <c r="G55" s="15" t="s">
        <v>10</v>
      </c>
      <c r="H55" s="11">
        <v>83.603706953941852</v>
      </c>
      <c r="I55" s="11">
        <v>80.231030975149125</v>
      </c>
      <c r="J55" s="11">
        <v>-3.3726759787926972</v>
      </c>
      <c r="K55" s="12" t="str">
        <f>IF(       0.219&lt;0.01,"***",IF(       0.219&lt;0.05,"**",IF(       0.219&lt;0.1,"*","NS")))</f>
        <v>NS</v>
      </c>
      <c r="L55" s="11">
        <v>84.412478942159566</v>
      </c>
      <c r="M55" s="11">
        <v>0.80877198821773999</v>
      </c>
      <c r="N55" s="12" t="str">
        <f>IF(       0.77&lt;0.01,"***",IF(       0.77&lt;0.05,"**",IF(       0.77&lt;0.1,"*","NS")))</f>
        <v>NS</v>
      </c>
      <c r="P55" s="15" t="s">
        <v>10</v>
      </c>
      <c r="Q55" s="11">
        <v>82.797311835235888</v>
      </c>
      <c r="R55" s="11">
        <v>84.412478942159566</v>
      </c>
      <c r="S55" s="11">
        <v>1.6151671069237257</v>
      </c>
      <c r="T55" s="12" t="str">
        <f>IF(       0.523&lt;0.01,"***",IF(       0.523&lt;0.05,"**",IF(       0.523&lt;0.1,"*","NS")))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zoomScaleNormal="100" workbookViewId="0">
      <selection activeCell="B6" sqref="B6"/>
    </sheetView>
  </sheetViews>
  <sheetFormatPr baseColWidth="10" defaultColWidth="14.5" defaultRowHeight="15" customHeight="1"/>
  <cols>
    <col min="1" max="4" width="15.83203125" style="6" customWidth="1"/>
    <col min="5" max="26" width="8.6640625" style="6" customWidth="1"/>
    <col min="27" max="16384" width="14.5" style="6"/>
  </cols>
  <sheetData>
    <row r="1" spans="1:4">
      <c r="A1" s="5" t="s">
        <v>0</v>
      </c>
    </row>
    <row r="2" spans="1:4" s="8" customFormat="1">
      <c r="A2" s="7" t="s">
        <v>1</v>
      </c>
      <c r="B2" s="7" t="s">
        <v>2</v>
      </c>
      <c r="C2" s="7" t="s">
        <v>3</v>
      </c>
      <c r="D2" s="7" t="s">
        <v>4</v>
      </c>
    </row>
    <row r="3" spans="1:4">
      <c r="A3" s="5" t="s">
        <v>5</v>
      </c>
      <c r="B3" s="9">
        <v>14.341214817663806</v>
      </c>
      <c r="C3" s="9">
        <v>8.6334378096859332</v>
      </c>
      <c r="D3" s="9">
        <v>5.7077770079778718</v>
      </c>
    </row>
    <row r="4" spans="1:4">
      <c r="A4" s="5" t="s">
        <v>6</v>
      </c>
      <c r="B4" s="9">
        <v>12.63146229585613</v>
      </c>
      <c r="C4" s="9">
        <v>9.0741127946929083</v>
      </c>
      <c r="D4" s="9">
        <v>3.5573495011632223</v>
      </c>
    </row>
    <row r="5" spans="1:4">
      <c r="A5" s="5" t="s">
        <v>7</v>
      </c>
      <c r="B5" s="9">
        <v>16.043148600973826</v>
      </c>
      <c r="C5" s="9">
        <v>11.160922680902285</v>
      </c>
      <c r="D5" s="9">
        <v>4.8822259200715434</v>
      </c>
    </row>
    <row r="6" spans="1:4">
      <c r="A6" s="5" t="s">
        <v>8</v>
      </c>
      <c r="B6" s="9">
        <v>12.422184680285026</v>
      </c>
      <c r="C6" s="9">
        <v>8.7484816139623636</v>
      </c>
      <c r="D6" s="9">
        <v>3.6737030663226622</v>
      </c>
    </row>
    <row r="7" spans="1:4">
      <c r="A7" s="5" t="s">
        <v>10</v>
      </c>
      <c r="B7" s="5">
        <v>14.44817977614731</v>
      </c>
      <c r="C7" s="5">
        <v>9.7287205230099705</v>
      </c>
      <c r="D7" s="5">
        <v>4.7194592531373392</v>
      </c>
    </row>
    <row r="9" spans="1:4">
      <c r="A9" s="5" t="s">
        <v>9</v>
      </c>
    </row>
    <row r="10" spans="1:4" s="8" customFormat="1">
      <c r="A10" s="7" t="s">
        <v>1</v>
      </c>
      <c r="B10" s="7" t="s">
        <v>2</v>
      </c>
      <c r="C10" s="7" t="s">
        <v>3</v>
      </c>
      <c r="D10" s="7" t="s">
        <v>4</v>
      </c>
    </row>
    <row r="11" spans="1:4">
      <c r="A11" s="5" t="s">
        <v>5</v>
      </c>
      <c r="B11" s="9">
        <v>14.101389356836993</v>
      </c>
      <c r="C11" s="9">
        <v>8.5505216575869891</v>
      </c>
      <c r="D11" s="9">
        <v>5.550867699250003</v>
      </c>
    </row>
    <row r="12" spans="1:4">
      <c r="A12" s="5" t="s">
        <v>6</v>
      </c>
      <c r="B12" s="9">
        <v>11.966763997549032</v>
      </c>
      <c r="C12" s="9">
        <v>8.7646032917312855</v>
      </c>
      <c r="D12" s="9">
        <v>3.2021607058177479</v>
      </c>
    </row>
    <row r="13" spans="1:4">
      <c r="A13" s="5" t="s">
        <v>7</v>
      </c>
      <c r="B13" s="9">
        <v>18.225430530899757</v>
      </c>
      <c r="C13" s="9">
        <v>13.088923697403464</v>
      </c>
      <c r="D13" s="9">
        <v>5.136506833496294</v>
      </c>
    </row>
    <row r="14" spans="1:4">
      <c r="A14" s="5" t="s">
        <v>8</v>
      </c>
      <c r="B14" s="9">
        <v>12.180122955746354</v>
      </c>
      <c r="C14" s="9">
        <v>8.7266473669787956</v>
      </c>
      <c r="D14" s="9">
        <v>3.4534755887675583</v>
      </c>
    </row>
    <row r="15" spans="1:4">
      <c r="A15" s="5" t="s">
        <v>10</v>
      </c>
      <c r="B15" s="5">
        <v>15.07176782292194</v>
      </c>
      <c r="C15" s="5">
        <v>10.3748989905038</v>
      </c>
      <c r="D15" s="5">
        <v>4.6968688324181356</v>
      </c>
    </row>
    <row r="17" spans="1:4">
      <c r="A17" s="5" t="s">
        <v>11</v>
      </c>
    </row>
    <row r="18" spans="1:4" s="8" customFormat="1">
      <c r="A18" s="7" t="s">
        <v>1</v>
      </c>
      <c r="B18" s="7" t="s">
        <v>2</v>
      </c>
      <c r="C18" s="7" t="s">
        <v>3</v>
      </c>
      <c r="D18" s="7" t="s">
        <v>4</v>
      </c>
    </row>
    <row r="19" spans="1:4">
      <c r="A19" s="5" t="s">
        <v>5</v>
      </c>
      <c r="B19" s="9">
        <v>14.695157799246683</v>
      </c>
      <c r="C19" s="9">
        <v>8.7558084286940314</v>
      </c>
      <c r="D19" s="9">
        <v>5.9393493705526508</v>
      </c>
    </row>
    <row r="20" spans="1:4">
      <c r="A20" s="5" t="s">
        <v>6</v>
      </c>
      <c r="B20" s="9">
        <v>13.549756440454583</v>
      </c>
      <c r="C20" s="9">
        <v>9.5017064337786579</v>
      </c>
      <c r="D20" s="9">
        <v>4.0480500066759264</v>
      </c>
    </row>
    <row r="21" spans="1:4" ht="15.75" customHeight="1">
      <c r="A21" s="5" t="s">
        <v>7</v>
      </c>
      <c r="B21" s="9">
        <v>13.314669808738985</v>
      </c>
      <c r="C21" s="9">
        <v>8.750368016634301</v>
      </c>
      <c r="D21" s="9">
        <v>4.5643017921046836</v>
      </c>
    </row>
    <row r="22" spans="1:4" ht="15.75" customHeight="1">
      <c r="A22" s="5" t="s">
        <v>8</v>
      </c>
      <c r="B22" s="9">
        <v>12.702096394245393</v>
      </c>
      <c r="C22" s="9">
        <v>8.7737299736848779</v>
      </c>
      <c r="D22" s="9">
        <v>3.928366420560514</v>
      </c>
    </row>
    <row r="23" spans="1:4" ht="15.75" customHeight="1">
      <c r="A23" s="5" t="s">
        <v>10</v>
      </c>
      <c r="B23" s="5">
        <v>13.62671638030746</v>
      </c>
      <c r="C23" s="5">
        <v>8.8774983724707131</v>
      </c>
      <c r="D23" s="5">
        <v>4.7492180078367454</v>
      </c>
    </row>
    <row r="24" spans="1:4" ht="15.75" customHeight="1"/>
    <row r="25" spans="1:4" ht="15.75" customHeight="1">
      <c r="A25" s="5" t="s">
        <v>12</v>
      </c>
    </row>
    <row r="26" spans="1:4" s="8" customFormat="1" ht="15.75" customHeight="1">
      <c r="A26" s="7" t="s">
        <v>1</v>
      </c>
      <c r="B26" s="7" t="s">
        <v>2</v>
      </c>
      <c r="C26" s="7" t="s">
        <v>3</v>
      </c>
      <c r="D26" s="7" t="s">
        <v>4</v>
      </c>
    </row>
    <row r="27" spans="1:4" ht="15.75" customHeight="1">
      <c r="A27" s="5" t="s">
        <v>5</v>
      </c>
      <c r="B27" s="9">
        <v>14.283876782579011</v>
      </c>
      <c r="C27" s="9">
        <v>8.5209547260163632</v>
      </c>
      <c r="D27" s="9">
        <v>5.7629220565626484</v>
      </c>
    </row>
    <row r="28" spans="1:4" ht="15.75" customHeight="1">
      <c r="A28" s="5" t="s">
        <v>6</v>
      </c>
      <c r="B28" s="9">
        <v>12.48555277173952</v>
      </c>
      <c r="C28" s="9">
        <v>8.6683938341045312</v>
      </c>
      <c r="D28" s="9">
        <v>3.8171589376349906</v>
      </c>
    </row>
    <row r="29" spans="1:4" ht="15.75" customHeight="1">
      <c r="A29" s="5" t="s">
        <v>7</v>
      </c>
      <c r="B29" s="9">
        <v>16.101838973654139</v>
      </c>
      <c r="C29" s="9">
        <v>10.499082535197857</v>
      </c>
      <c r="D29" s="9">
        <v>5.6027564384562831</v>
      </c>
    </row>
    <row r="30" spans="1:4" ht="15.75" customHeight="1">
      <c r="A30" s="5" t="s">
        <v>8</v>
      </c>
      <c r="B30" s="9">
        <v>12.604434997301608</v>
      </c>
      <c r="C30" s="9">
        <v>8.9048195727621344</v>
      </c>
      <c r="D30" s="9">
        <v>3.6996154245394739</v>
      </c>
    </row>
    <row r="31" spans="1:4" ht="15.75" customHeight="1">
      <c r="A31" s="5" t="s">
        <v>10</v>
      </c>
      <c r="B31" s="5">
        <v>13.80423483056925</v>
      </c>
      <c r="C31" s="5">
        <v>8.9036184729701517</v>
      </c>
      <c r="D31" s="5">
        <v>4.9006163575991</v>
      </c>
    </row>
    <row r="32" spans="1:4" ht="15.75" customHeight="1"/>
    <row r="33" spans="1:4" ht="15.75" customHeight="1">
      <c r="A33" s="5" t="s">
        <v>13</v>
      </c>
    </row>
    <row r="34" spans="1:4" s="8" customFormat="1" ht="15.75" customHeight="1">
      <c r="A34" s="7" t="s">
        <v>1</v>
      </c>
      <c r="B34" s="7" t="s">
        <v>2</v>
      </c>
      <c r="C34" s="7" t="s">
        <v>3</v>
      </c>
      <c r="D34" s="7" t="s">
        <v>4</v>
      </c>
    </row>
    <row r="35" spans="1:4" ht="15.75" customHeight="1">
      <c r="A35" s="5" t="s">
        <v>5</v>
      </c>
      <c r="B35" s="9">
        <v>14.568208252003464</v>
      </c>
      <c r="C35" s="9">
        <v>9.0787429449161809</v>
      </c>
      <c r="D35" s="9">
        <v>5.4894653070872836</v>
      </c>
    </row>
    <row r="36" spans="1:4" ht="15.75" customHeight="1">
      <c r="A36" s="5" t="s">
        <v>6</v>
      </c>
      <c r="B36" s="9">
        <v>12.962976191680683</v>
      </c>
      <c r="C36" s="9">
        <v>9.9959270083219565</v>
      </c>
      <c r="D36" s="9">
        <v>2.9670491833587258</v>
      </c>
    </row>
    <row r="37" spans="1:4" ht="15.75" customHeight="1">
      <c r="A37" s="5" t="s">
        <v>7</v>
      </c>
      <c r="B37" s="9">
        <v>16.030157354163542</v>
      </c>
      <c r="C37" s="9">
        <v>11.307422494911552</v>
      </c>
      <c r="D37" s="9">
        <v>4.7227348592519913</v>
      </c>
    </row>
    <row r="38" spans="1:4" ht="15.75" customHeight="1">
      <c r="A38" s="5" t="s">
        <v>8</v>
      </c>
      <c r="B38" s="9">
        <v>12.014528607072425</v>
      </c>
      <c r="C38" s="9">
        <v>8.3987860994542096</v>
      </c>
      <c r="D38" s="9">
        <v>3.6157425076182155</v>
      </c>
    </row>
    <row r="39" spans="1:4" ht="15.75" customHeight="1">
      <c r="A39" s="5" t="s">
        <v>10</v>
      </c>
      <c r="B39" s="5">
        <v>15.145193947911229</v>
      </c>
      <c r="C39" s="5">
        <v>10.62182144099754</v>
      </c>
      <c r="D39" s="5">
        <v>4.5233725069136916</v>
      </c>
    </row>
    <row r="40" spans="1:4" ht="15.75" customHeight="1"/>
    <row r="41" spans="1:4" ht="15.75" customHeight="1">
      <c r="A41" s="5" t="s">
        <v>14</v>
      </c>
    </row>
    <row r="42" spans="1:4" s="8" customFormat="1" ht="15.75" customHeight="1">
      <c r="A42" s="7" t="s">
        <v>1</v>
      </c>
      <c r="B42" s="7" t="s">
        <v>2</v>
      </c>
      <c r="C42" s="7" t="s">
        <v>3</v>
      </c>
      <c r="D42" s="7" t="s">
        <v>4</v>
      </c>
    </row>
    <row r="43" spans="1:4" ht="15.75" customHeight="1">
      <c r="A43" s="5" t="s">
        <v>5</v>
      </c>
      <c r="B43" s="9">
        <v>5.5750061801672057</v>
      </c>
      <c r="C43" s="9">
        <v>3.3567381147196635</v>
      </c>
      <c r="D43" s="9">
        <v>2.2182680654475417</v>
      </c>
    </row>
    <row r="44" spans="1:4" ht="15.75" customHeight="1">
      <c r="A44" s="5" t="s">
        <v>6</v>
      </c>
      <c r="B44" s="9">
        <v>5.2400647518949581</v>
      </c>
      <c r="C44" s="9">
        <v>3.9045834378976245</v>
      </c>
      <c r="D44" s="9">
        <v>1.3354813139973336</v>
      </c>
    </row>
    <row r="45" spans="1:4" ht="15.75" customHeight="1">
      <c r="A45" s="5" t="s">
        <v>7</v>
      </c>
      <c r="B45" s="9">
        <v>8.5036601120535593</v>
      </c>
      <c r="C45" s="9">
        <v>6.6888160032062238</v>
      </c>
      <c r="D45" s="9">
        <v>1.8148441088473346</v>
      </c>
    </row>
    <row r="46" spans="1:4" ht="15.75" customHeight="1">
      <c r="A46" s="5" t="s">
        <v>8</v>
      </c>
      <c r="B46" s="9">
        <v>5.8945325892749851</v>
      </c>
      <c r="C46" s="9">
        <v>4.6067647853933993</v>
      </c>
      <c r="D46" s="9">
        <v>1.2877678038815863</v>
      </c>
    </row>
    <row r="47" spans="1:4" ht="15.75" customHeight="1">
      <c r="A47" s="5" t="s">
        <v>10</v>
      </c>
      <c r="B47" s="5">
        <v>6.7408350825817944</v>
      </c>
      <c r="C47" s="5">
        <v>4.9652315892259882</v>
      </c>
      <c r="D47" s="5">
        <v>1.775603493355806</v>
      </c>
    </row>
    <row r="48" spans="1:4" ht="15.75" customHeight="1"/>
    <row r="49" spans="1:4" ht="15.75" customHeight="1">
      <c r="A49" s="5" t="s">
        <v>15</v>
      </c>
    </row>
    <row r="50" spans="1:4" s="8" customFormat="1" ht="15.75" customHeight="1">
      <c r="A50" s="7" t="s">
        <v>1</v>
      </c>
      <c r="B50" s="7" t="s">
        <v>2</v>
      </c>
      <c r="C50" s="7" t="s">
        <v>3</v>
      </c>
      <c r="D50" s="7" t="s">
        <v>4</v>
      </c>
    </row>
    <row r="51" spans="1:4" ht="15.75" customHeight="1">
      <c r="A51" s="5" t="s">
        <v>5</v>
      </c>
      <c r="B51" s="9">
        <v>35.483428655771938</v>
      </c>
      <c r="C51" s="9">
        <v>21.359704993570318</v>
      </c>
      <c r="D51" s="9">
        <v>14.123723662201618</v>
      </c>
    </row>
    <row r="52" spans="1:4" ht="15.75" customHeight="1">
      <c r="A52" s="5" t="s">
        <v>6</v>
      </c>
      <c r="B52" s="9">
        <v>30.174418393564022</v>
      </c>
      <c r="C52" s="9">
        <v>21.343622858613802</v>
      </c>
      <c r="D52" s="9">
        <v>8.8307955349502194</v>
      </c>
    </row>
    <row r="53" spans="1:4" ht="15.75" customHeight="1">
      <c r="A53" s="5" t="s">
        <v>7</v>
      </c>
      <c r="B53" s="9">
        <v>34.658441454022096</v>
      </c>
      <c r="C53" s="9">
        <v>22.202729508742816</v>
      </c>
      <c r="D53" s="9">
        <v>12.455711945279281</v>
      </c>
    </row>
    <row r="54" spans="1:4" ht="15.75" customHeight="1">
      <c r="A54" s="5" t="s">
        <v>8</v>
      </c>
      <c r="B54" s="9">
        <v>26.513212327965324</v>
      </c>
      <c r="C54" s="9">
        <v>17.689069366885587</v>
      </c>
      <c r="D54" s="9">
        <v>8.8241429610797351</v>
      </c>
    </row>
    <row r="55" spans="1:4" ht="15.75" customHeight="1">
      <c r="A55" s="5" t="s">
        <v>10</v>
      </c>
      <c r="B55" s="5">
        <v>32.848361214573487</v>
      </c>
      <c r="C55" s="5">
        <v>21.100868019505679</v>
      </c>
      <c r="D55" s="5">
        <v>11.747493195067809</v>
      </c>
    </row>
    <row r="56" spans="1:4" ht="15.75" customHeight="1"/>
    <row r="57" spans="1:4" ht="15.75" customHeight="1"/>
    <row r="58" spans="1:4" ht="15.75" customHeight="1"/>
    <row r="59" spans="1:4" ht="15.75" customHeight="1"/>
    <row r="60" spans="1:4" ht="15.75" customHeight="1"/>
    <row r="61" spans="1:4" ht="15.75" customHeight="1"/>
    <row r="62" spans="1:4" ht="15.75" customHeight="1"/>
    <row r="63" spans="1:4" ht="15.75" customHeight="1"/>
    <row r="64" spans="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7">
    <tablePart r:id="rId1"/>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C12" sqref="C12"/>
    </sheetView>
  </sheetViews>
  <sheetFormatPr baseColWidth="10" defaultColWidth="14.5" defaultRowHeight="15" customHeight="1"/>
  <cols>
    <col min="1" max="7" width="15.83203125" style="6" customWidth="1"/>
    <col min="8" max="26" width="8.6640625" customWidth="1"/>
  </cols>
  <sheetData>
    <row r="1" spans="1:26">
      <c r="A1" s="9" t="s">
        <v>16</v>
      </c>
      <c r="B1" s="9"/>
      <c r="C1" s="9"/>
      <c r="D1" s="9"/>
      <c r="E1" s="9"/>
      <c r="F1" s="9"/>
      <c r="G1" s="9"/>
      <c r="H1" s="2"/>
      <c r="I1" s="2"/>
      <c r="J1" s="2"/>
      <c r="K1" s="2"/>
      <c r="L1" s="2"/>
      <c r="M1" s="2"/>
      <c r="N1" s="2"/>
      <c r="O1" s="2"/>
      <c r="P1" s="2"/>
      <c r="Q1" s="2"/>
      <c r="R1" s="2"/>
      <c r="S1" s="2"/>
      <c r="T1" s="2"/>
      <c r="U1" s="2"/>
      <c r="V1" s="2"/>
      <c r="W1" s="2"/>
      <c r="X1" s="2"/>
      <c r="Y1" s="2"/>
      <c r="Z1" s="2"/>
    </row>
    <row r="2" spans="1:26" s="4" customFormat="1">
      <c r="A2" s="7" t="s">
        <v>1</v>
      </c>
      <c r="B2" s="7" t="s">
        <v>17</v>
      </c>
      <c r="C2" s="7" t="s">
        <v>18</v>
      </c>
      <c r="D2" s="7" t="s">
        <v>19</v>
      </c>
      <c r="E2" s="7" t="s">
        <v>20</v>
      </c>
      <c r="F2" s="7" t="s">
        <v>21</v>
      </c>
      <c r="G2" s="7" t="s">
        <v>22</v>
      </c>
      <c r="H2" s="3"/>
      <c r="I2" s="3"/>
      <c r="J2" s="3"/>
      <c r="K2" s="3"/>
      <c r="L2" s="3"/>
      <c r="M2" s="3"/>
      <c r="N2" s="3"/>
      <c r="O2" s="3"/>
      <c r="P2" s="3"/>
      <c r="Q2" s="3"/>
      <c r="R2" s="3"/>
      <c r="S2" s="3"/>
      <c r="T2" s="3"/>
      <c r="U2" s="3"/>
      <c r="V2" s="3"/>
      <c r="W2" s="3"/>
      <c r="X2" s="3"/>
      <c r="Y2" s="3"/>
      <c r="Z2" s="3"/>
    </row>
    <row r="3" spans="1:26">
      <c r="A3" s="5" t="s">
        <v>5</v>
      </c>
      <c r="B3" s="5">
        <v>8.5870459463484696</v>
      </c>
      <c r="C3" s="5">
        <v>4.0659348269483111</v>
      </c>
      <c r="D3" s="5">
        <v>5.1852270684500716</v>
      </c>
      <c r="E3" s="5">
        <v>3.8111535666393599</v>
      </c>
      <c r="F3" s="5">
        <v>1.148800003274395</v>
      </c>
      <c r="G3" s="5">
        <v>1.4794666639079621</v>
      </c>
    </row>
    <row r="4" spans="1:26">
      <c r="A4" s="5" t="s">
        <v>6</v>
      </c>
      <c r="B4" s="5">
        <v>8.3470106365825831</v>
      </c>
      <c r="C4" s="5">
        <v>2.4211714030930018</v>
      </c>
      <c r="D4" s="5">
        <v>4.4409851354108776</v>
      </c>
      <c r="E4" s="5">
        <v>1.734329054581639</v>
      </c>
      <c r="F4" s="5">
        <v>1.481299165872952</v>
      </c>
      <c r="G4" s="5">
        <v>0.96747629470971608</v>
      </c>
    </row>
    <row r="5" spans="1:26">
      <c r="A5" s="5" t="s">
        <v>7</v>
      </c>
      <c r="B5" s="5">
        <v>10.58531830867873</v>
      </c>
      <c r="C5" s="5">
        <v>2.830799556155716</v>
      </c>
      <c r="D5" s="5">
        <v>4.0466421141242419</v>
      </c>
      <c r="E5" s="5">
        <v>2.887745564399685</v>
      </c>
      <c r="F5" s="5">
        <v>1.0734442225430081</v>
      </c>
      <c r="G5" s="5">
        <v>0.86852855292737685</v>
      </c>
    </row>
    <row r="6" spans="1:26">
      <c r="A6" s="5" t="s">
        <v>8</v>
      </c>
      <c r="B6" s="5">
        <v>7.2310898841853266</v>
      </c>
      <c r="C6" s="5">
        <v>3.3939208251004591</v>
      </c>
      <c r="D6" s="5">
        <v>3.1658797120595721</v>
      </c>
      <c r="E6" s="5">
        <v>2.1985269001608891</v>
      </c>
      <c r="F6" s="5">
        <v>0.92734900421002942</v>
      </c>
      <c r="G6" s="5">
        <v>1.2517910742500831</v>
      </c>
    </row>
    <row r="7" spans="1:26">
      <c r="A7" s="5" t="s">
        <v>10</v>
      </c>
      <c r="B7" s="5">
        <v>9.1404102558772369</v>
      </c>
      <c r="C7" s="5">
        <v>3.2010013490878042</v>
      </c>
      <c r="D7" s="5">
        <v>4.3092082531379594</v>
      </c>
      <c r="E7" s="5">
        <v>2.8586711320922071</v>
      </c>
      <c r="F7" s="5">
        <v>1.1414869014107401</v>
      </c>
      <c r="G7" s="5">
        <v>1.1174637519271871</v>
      </c>
    </row>
    <row r="9" spans="1:26">
      <c r="A9" s="5" t="s">
        <v>23</v>
      </c>
    </row>
    <row r="10" spans="1:26" s="4" customFormat="1">
      <c r="A10" s="7" t="s">
        <v>1</v>
      </c>
      <c r="B10" s="7" t="s">
        <v>17</v>
      </c>
      <c r="C10" s="7" t="s">
        <v>18</v>
      </c>
      <c r="D10" s="7" t="s">
        <v>19</v>
      </c>
      <c r="E10" s="7" t="s">
        <v>20</v>
      </c>
      <c r="F10" s="7" t="s">
        <v>21</v>
      </c>
      <c r="G10" s="7" t="s">
        <v>22</v>
      </c>
      <c r="H10" s="3"/>
      <c r="I10" s="3"/>
      <c r="J10" s="3"/>
      <c r="K10" s="3"/>
      <c r="L10" s="3"/>
      <c r="M10" s="3"/>
      <c r="N10" s="3"/>
      <c r="O10" s="3"/>
      <c r="P10" s="3"/>
      <c r="Q10" s="3"/>
      <c r="R10" s="3"/>
      <c r="S10" s="3"/>
      <c r="T10" s="3"/>
      <c r="U10" s="3"/>
      <c r="V10" s="3"/>
      <c r="W10" s="3"/>
      <c r="X10" s="3"/>
      <c r="Y10" s="3"/>
      <c r="Z10" s="3"/>
    </row>
    <row r="11" spans="1:26">
      <c r="A11" s="5" t="s">
        <v>5</v>
      </c>
      <c r="B11" s="5">
        <v>5.5340267498279836</v>
      </c>
      <c r="C11" s="5">
        <v>2.6746499703466551</v>
      </c>
      <c r="D11" s="5">
        <v>3.2179558783503741</v>
      </c>
      <c r="E11" s="5">
        <v>2.8738516005802741</v>
      </c>
      <c r="F11" s="5">
        <v>0.77591630256212951</v>
      </c>
      <c r="G11" s="5">
        <v>0.87420737225861767</v>
      </c>
    </row>
    <row r="12" spans="1:26">
      <c r="A12" s="5" t="s">
        <v>6</v>
      </c>
      <c r="B12" s="5">
        <v>6.776274659302719</v>
      </c>
      <c r="C12" s="5">
        <v>1.931297290815446</v>
      </c>
      <c r="D12" s="5">
        <v>2.896679363612261</v>
      </c>
      <c r="E12" s="5">
        <v>1.2059492804609711</v>
      </c>
      <c r="F12" s="5">
        <v>0.91495130597523322</v>
      </c>
      <c r="G12" s="5">
        <v>0.62941551114720895</v>
      </c>
    </row>
    <row r="13" spans="1:26">
      <c r="A13" s="5" t="s">
        <v>7</v>
      </c>
      <c r="B13" s="5">
        <v>7.890789401431026</v>
      </c>
      <c r="C13" s="5">
        <v>2.0340645583122061</v>
      </c>
      <c r="D13" s="5">
        <v>2.3057107899467</v>
      </c>
      <c r="E13" s="5">
        <v>2.4751471823700721</v>
      </c>
      <c r="F13" s="5">
        <v>0.81437056364855742</v>
      </c>
      <c r="G13" s="5">
        <v>0.61909031878753962</v>
      </c>
    </row>
    <row r="14" spans="1:26">
      <c r="A14" s="5" t="s">
        <v>8</v>
      </c>
      <c r="B14" s="5">
        <v>5.7056230760677993</v>
      </c>
      <c r="C14" s="5">
        <v>2.5651609341763919</v>
      </c>
      <c r="D14" s="5">
        <v>1.8827415332379509</v>
      </c>
      <c r="E14" s="5">
        <v>1.620310649662752</v>
      </c>
      <c r="F14" s="5">
        <v>0.61675353561824187</v>
      </c>
      <c r="G14" s="5">
        <v>0.96277343902745838</v>
      </c>
    </row>
    <row r="15" spans="1:26">
      <c r="A15" s="5" t="s">
        <v>10</v>
      </c>
      <c r="B15" s="5">
        <v>6.7035285090084891</v>
      </c>
      <c r="C15" s="5">
        <v>2.2797852623563171</v>
      </c>
      <c r="D15" s="5">
        <v>2.6038515334874952</v>
      </c>
      <c r="E15" s="5">
        <v>2.2513750718277308</v>
      </c>
      <c r="F15" s="5">
        <v>0.79080604399690257</v>
      </c>
      <c r="G15" s="5">
        <v>0.74508682592552267</v>
      </c>
    </row>
    <row r="17" spans="1:26">
      <c r="A17" s="5" t="s">
        <v>24</v>
      </c>
    </row>
    <row r="18" spans="1:26" s="4" customFormat="1">
      <c r="A18" s="7" t="s">
        <v>1</v>
      </c>
      <c r="B18" s="7" t="s">
        <v>17</v>
      </c>
      <c r="C18" s="7" t="s">
        <v>18</v>
      </c>
      <c r="D18" s="7" t="s">
        <v>19</v>
      </c>
      <c r="E18" s="7" t="s">
        <v>20</v>
      </c>
      <c r="F18" s="7" t="s">
        <v>21</v>
      </c>
      <c r="G18" s="7" t="s">
        <v>22</v>
      </c>
      <c r="H18" s="3"/>
      <c r="I18" s="3"/>
      <c r="J18" s="3"/>
      <c r="K18" s="3"/>
      <c r="L18" s="3"/>
      <c r="M18" s="3"/>
      <c r="N18" s="3"/>
      <c r="O18" s="3"/>
      <c r="P18" s="3"/>
      <c r="Q18" s="3"/>
      <c r="R18" s="3"/>
      <c r="S18" s="3"/>
      <c r="T18" s="3"/>
      <c r="U18" s="3"/>
      <c r="V18" s="3"/>
      <c r="W18" s="3"/>
      <c r="X18" s="3"/>
      <c r="Y18" s="3"/>
      <c r="Z18" s="3"/>
    </row>
    <row r="19" spans="1:26">
      <c r="A19" s="5" t="s">
        <v>5</v>
      </c>
      <c r="B19" s="5">
        <v>3.053019196520486</v>
      </c>
      <c r="C19" s="5">
        <v>1.391284856601656</v>
      </c>
      <c r="D19" s="5">
        <v>1.9672711900996971</v>
      </c>
      <c r="E19" s="5">
        <v>0.93730196605908644</v>
      </c>
      <c r="F19" s="5">
        <v>0.3728837007122659</v>
      </c>
      <c r="G19" s="5">
        <v>0.60525929164934478</v>
      </c>
    </row>
    <row r="20" spans="1:26">
      <c r="A20" s="5" t="s">
        <v>6</v>
      </c>
      <c r="B20" s="5">
        <v>1.570735977279865</v>
      </c>
      <c r="C20" s="5">
        <v>0.48987411227755567</v>
      </c>
      <c r="D20" s="5">
        <v>1.5443057717986171</v>
      </c>
      <c r="E20" s="5">
        <v>0.5283797741206685</v>
      </c>
      <c r="F20" s="5">
        <v>0.56634785989771874</v>
      </c>
      <c r="G20" s="5">
        <v>0.33806078356250707</v>
      </c>
    </row>
    <row r="21" spans="1:26" ht="15.75" customHeight="1">
      <c r="A21" s="5" t="s">
        <v>7</v>
      </c>
      <c r="B21" s="5">
        <v>2.6945289072477032</v>
      </c>
      <c r="C21" s="5">
        <v>0.79673499784351043</v>
      </c>
      <c r="D21" s="5">
        <v>1.740931324177541</v>
      </c>
      <c r="E21" s="5">
        <v>0.41259838202961369</v>
      </c>
      <c r="F21" s="5">
        <v>0.25907365889445028</v>
      </c>
      <c r="G21" s="5">
        <v>0.24943823413983721</v>
      </c>
    </row>
    <row r="22" spans="1:26" ht="15.75" customHeight="1">
      <c r="A22" s="5" t="s">
        <v>8</v>
      </c>
      <c r="B22" s="11" t="s">
        <v>29</v>
      </c>
      <c r="C22" s="11" t="s">
        <v>29</v>
      </c>
      <c r="D22" s="11" t="s">
        <v>29</v>
      </c>
      <c r="E22" s="11" t="s">
        <v>29</v>
      </c>
      <c r="F22" s="11" t="s">
        <v>29</v>
      </c>
      <c r="G22" s="11" t="s">
        <v>29</v>
      </c>
    </row>
    <row r="23" spans="1:26" ht="15.75" customHeight="1">
      <c r="A23" s="5" t="s">
        <v>10</v>
      </c>
      <c r="B23" s="5">
        <v>2.4368817468687491</v>
      </c>
      <c r="C23" s="5">
        <v>0.92121608673148725</v>
      </c>
      <c r="D23" s="5">
        <v>1.7053567196504631</v>
      </c>
      <c r="E23" s="5">
        <v>0.60729606026447636</v>
      </c>
      <c r="F23" s="5">
        <v>0.3506808574138372</v>
      </c>
      <c r="G23" s="5">
        <v>0.37237692600166439</v>
      </c>
    </row>
    <row r="24" spans="1:26" ht="15.75" customHeight="1"/>
    <row r="25" spans="1:26" ht="15.75" customHeight="1"/>
    <row r="26" spans="1:26" ht="15.75" customHeight="1">
      <c r="A26" s="10"/>
      <c r="B26" s="10"/>
      <c r="C26" s="10"/>
      <c r="D26" s="10"/>
      <c r="E26" s="10"/>
      <c r="F26" s="10"/>
      <c r="G26" s="10"/>
      <c r="H26" s="1"/>
      <c r="I26" s="1"/>
      <c r="J26" s="1"/>
      <c r="K26" s="1"/>
      <c r="L26" s="1"/>
      <c r="M26" s="1"/>
      <c r="N26" s="1"/>
      <c r="O26" s="1"/>
      <c r="P26" s="1"/>
      <c r="Q26" s="1"/>
      <c r="R26" s="1"/>
      <c r="S26" s="1"/>
      <c r="T26" s="1"/>
      <c r="U26" s="1"/>
      <c r="V26" s="1"/>
      <c r="W26" s="1"/>
      <c r="X26" s="1"/>
      <c r="Y26" s="1"/>
      <c r="Z26" s="1"/>
    </row>
    <row r="27" spans="1:26" ht="15.75" customHeight="1"/>
    <row r="28" spans="1:26" ht="15.75" customHeight="1"/>
    <row r="29" spans="1:26" ht="15.75" customHeight="1"/>
    <row r="30" spans="1:26" ht="15.75" customHeight="1"/>
    <row r="31" spans="1:26" ht="15.75" customHeight="1"/>
    <row r="32" spans="1:26" ht="15.75" customHeight="1"/>
    <row r="33" spans="1:26" ht="15.75" customHeight="1"/>
    <row r="34" spans="1:26" ht="15.75" customHeight="1">
      <c r="A34" s="10"/>
      <c r="B34" s="10"/>
      <c r="C34" s="10"/>
      <c r="D34" s="10"/>
      <c r="E34" s="10"/>
      <c r="F34" s="10"/>
      <c r="G34" s="10"/>
      <c r="H34" s="1"/>
      <c r="I34" s="1"/>
      <c r="J34" s="1"/>
      <c r="K34" s="1"/>
      <c r="L34" s="1"/>
      <c r="M34" s="1"/>
      <c r="N34" s="1"/>
      <c r="O34" s="1"/>
      <c r="P34" s="1"/>
      <c r="Q34" s="1"/>
      <c r="R34" s="1"/>
      <c r="S34" s="1"/>
      <c r="T34" s="1"/>
      <c r="U34" s="1"/>
      <c r="V34" s="1"/>
      <c r="W34" s="1"/>
      <c r="X34" s="1"/>
      <c r="Y34" s="1"/>
      <c r="Z34" s="1"/>
    </row>
    <row r="35" spans="1:26" ht="15.75" customHeight="1"/>
    <row r="36" spans="1:26" ht="15.75" customHeight="1"/>
    <row r="37" spans="1:26" ht="15.75" customHeight="1"/>
    <row r="38" spans="1:26" ht="15.75" customHeight="1"/>
    <row r="39" spans="1:26" ht="15.75" customHeight="1"/>
    <row r="40" spans="1:26" ht="15.75" customHeight="1"/>
    <row r="41" spans="1:26" ht="15.75" customHeight="1"/>
    <row r="42" spans="1:26" ht="15.75" customHeight="1">
      <c r="A42" s="10"/>
      <c r="B42" s="10"/>
      <c r="C42" s="10"/>
      <c r="D42" s="10"/>
      <c r="E42" s="10"/>
      <c r="F42" s="10"/>
      <c r="G42" s="10"/>
      <c r="H42" s="1"/>
      <c r="I42" s="1"/>
      <c r="J42" s="1"/>
      <c r="K42" s="1"/>
      <c r="L42" s="1"/>
      <c r="M42" s="1"/>
      <c r="N42" s="1"/>
      <c r="O42" s="1"/>
      <c r="P42" s="1"/>
      <c r="Q42" s="1"/>
      <c r="R42" s="1"/>
      <c r="S42" s="1"/>
      <c r="T42" s="1"/>
      <c r="U42" s="1"/>
      <c r="V42" s="1"/>
      <c r="W42" s="1"/>
      <c r="X42" s="1"/>
      <c r="Y42" s="1"/>
      <c r="Z42" s="1"/>
    </row>
    <row r="43" spans="1:26" ht="15.75" customHeight="1"/>
    <row r="44" spans="1:26" ht="15.75" customHeight="1"/>
    <row r="45" spans="1:26" ht="15.75" customHeight="1"/>
    <row r="46" spans="1:26" ht="15.75" customHeight="1"/>
    <row r="47" spans="1:26" ht="15.75" customHeight="1"/>
    <row r="48" spans="1:26" ht="15.75" customHeight="1"/>
    <row r="49" spans="1:26" ht="15.75" customHeight="1"/>
    <row r="50" spans="1:26" ht="15.75" customHeight="1">
      <c r="A50" s="10"/>
      <c r="B50" s="10"/>
      <c r="C50" s="10"/>
      <c r="D50" s="10"/>
      <c r="E50" s="10"/>
      <c r="F50" s="10"/>
      <c r="G50" s="10"/>
      <c r="H50" s="1"/>
      <c r="I50" s="1"/>
      <c r="J50" s="1"/>
      <c r="K50" s="1"/>
      <c r="L50" s="1"/>
      <c r="M50" s="1"/>
      <c r="N50" s="1"/>
      <c r="O50" s="1"/>
      <c r="P50" s="1"/>
      <c r="Q50" s="1"/>
      <c r="R50" s="1"/>
      <c r="S50" s="1"/>
      <c r="T50" s="1"/>
      <c r="U50" s="1"/>
      <c r="V50" s="1"/>
      <c r="W50" s="1"/>
      <c r="X50" s="1"/>
      <c r="Y50" s="1"/>
      <c r="Z50" s="1"/>
    </row>
    <row r="51" spans="1:26" ht="15.75" customHeight="1"/>
    <row r="52" spans="1:26" ht="15.75" customHeight="1"/>
    <row r="53" spans="1:26" ht="15.75" customHeight="1"/>
    <row r="54" spans="1:26" ht="15.75" customHeight="1"/>
    <row r="55" spans="1:26" ht="15.75" customHeight="1"/>
    <row r="56" spans="1:26" ht="15.75" customHeight="1"/>
    <row r="57" spans="1:26" ht="15.75" customHeight="1"/>
    <row r="58" spans="1:26" ht="15.75" customHeight="1">
      <c r="A58" s="10"/>
      <c r="B58" s="10"/>
      <c r="C58" s="10"/>
      <c r="D58" s="10"/>
      <c r="E58" s="10"/>
      <c r="F58" s="10"/>
      <c r="G58" s="10"/>
      <c r="H58" s="1"/>
      <c r="I58" s="1"/>
      <c r="J58" s="1"/>
      <c r="K58" s="1"/>
      <c r="L58" s="1"/>
      <c r="M58" s="1"/>
      <c r="N58" s="1"/>
      <c r="O58" s="1"/>
      <c r="P58" s="1"/>
      <c r="Q58" s="1"/>
      <c r="R58" s="1"/>
      <c r="S58" s="1"/>
      <c r="T58" s="1"/>
      <c r="U58" s="1"/>
      <c r="V58" s="1"/>
      <c r="W58" s="1"/>
      <c r="X58" s="1"/>
      <c r="Y58" s="1"/>
      <c r="Z58" s="1"/>
    </row>
    <row r="59" spans="1:26" ht="15.75" customHeight="1"/>
    <row r="60" spans="1:26" ht="15.75" customHeight="1"/>
    <row r="61" spans="1:26" ht="15.75" customHeight="1"/>
    <row r="62" spans="1:26" ht="15.75" customHeight="1"/>
    <row r="63" spans="1:26" ht="15.75" customHeight="1"/>
    <row r="64" spans="1:26" ht="15.75" customHeight="1"/>
    <row r="65" spans="1:26" ht="15.75" customHeight="1"/>
    <row r="66" spans="1:26" ht="15.75" customHeight="1">
      <c r="A66" s="10"/>
      <c r="B66" s="10"/>
      <c r="C66" s="10"/>
      <c r="D66" s="10"/>
      <c r="E66" s="10"/>
      <c r="F66" s="10"/>
      <c r="G66" s="10"/>
      <c r="H66" s="1"/>
      <c r="I66" s="1"/>
      <c r="J66" s="1"/>
      <c r="K66" s="1"/>
      <c r="L66" s="1"/>
      <c r="M66" s="1"/>
      <c r="N66" s="1"/>
      <c r="O66" s="1"/>
      <c r="P66" s="1"/>
      <c r="Q66" s="1"/>
      <c r="R66" s="1"/>
      <c r="S66" s="1"/>
      <c r="T66" s="1"/>
      <c r="U66" s="1"/>
      <c r="V66" s="1"/>
      <c r="W66" s="1"/>
      <c r="X66" s="1"/>
      <c r="Y66" s="1"/>
      <c r="Z66" s="1"/>
    </row>
    <row r="67" spans="1:26" ht="15.75" customHeight="1"/>
    <row r="68" spans="1:26" ht="15.75" customHeight="1"/>
    <row r="69" spans="1:26" ht="15.75" customHeight="1"/>
    <row r="70" spans="1:26" ht="15.75" customHeight="1"/>
    <row r="71" spans="1:26" ht="15.75" customHeight="1"/>
    <row r="72" spans="1:26" ht="15.75" customHeight="1"/>
    <row r="73" spans="1:26" ht="15.75" customHeight="1"/>
    <row r="74" spans="1:26" ht="15.75" customHeight="1">
      <c r="A74" s="10"/>
      <c r="B74" s="10"/>
      <c r="C74" s="10"/>
      <c r="D74" s="10"/>
      <c r="E74" s="10"/>
      <c r="F74" s="10"/>
      <c r="G74" s="10"/>
      <c r="H74" s="1"/>
      <c r="I74" s="1"/>
      <c r="J74" s="1"/>
      <c r="K74" s="1"/>
      <c r="L74" s="1"/>
      <c r="M74" s="1"/>
      <c r="N74" s="1"/>
      <c r="O74" s="1"/>
      <c r="P74" s="1"/>
      <c r="Q74" s="1"/>
      <c r="R74" s="1"/>
      <c r="S74" s="1"/>
      <c r="T74" s="1"/>
      <c r="U74" s="1"/>
      <c r="V74" s="1"/>
      <c r="W74" s="1"/>
      <c r="X74" s="1"/>
      <c r="Y74" s="1"/>
      <c r="Z74" s="1"/>
    </row>
    <row r="75" spans="1:26" ht="15.75" customHeight="1"/>
    <row r="76" spans="1:26" ht="15.75" customHeight="1"/>
    <row r="77" spans="1:26" ht="15.75" customHeight="1"/>
    <row r="78" spans="1:26" ht="15.75" customHeight="1"/>
    <row r="79" spans="1:26" ht="15.75" customHeight="1"/>
    <row r="80" spans="1:26" ht="15.75" customHeight="1"/>
    <row r="81" spans="1:26" ht="15.75" customHeight="1"/>
    <row r="82" spans="1:26" ht="15.75" customHeight="1">
      <c r="A82" s="10"/>
      <c r="B82" s="10"/>
      <c r="C82" s="10"/>
      <c r="D82" s="10"/>
      <c r="E82" s="10"/>
      <c r="F82" s="10"/>
      <c r="G82" s="10"/>
      <c r="H82" s="1"/>
      <c r="I82" s="1"/>
      <c r="J82" s="1"/>
      <c r="K82" s="1"/>
      <c r="L82" s="1"/>
      <c r="M82" s="1"/>
      <c r="N82" s="1"/>
      <c r="O82" s="1"/>
      <c r="P82" s="1"/>
      <c r="Q82" s="1"/>
      <c r="R82" s="1"/>
      <c r="S82" s="1"/>
      <c r="T82" s="1"/>
      <c r="U82" s="1"/>
      <c r="V82" s="1"/>
      <c r="W82" s="1"/>
      <c r="X82" s="1"/>
      <c r="Y82" s="1"/>
      <c r="Z82" s="1"/>
    </row>
    <row r="83" spans="1:26" ht="15.75" customHeight="1"/>
    <row r="84" spans="1:26" ht="15.75" customHeight="1"/>
    <row r="85" spans="1:26" ht="15.75" customHeight="1"/>
    <row r="86" spans="1:26" ht="15.75" customHeight="1"/>
    <row r="87" spans="1:26" ht="15.75" customHeight="1"/>
    <row r="88" spans="1:26" ht="15.75" customHeight="1"/>
    <row r="89" spans="1:26" ht="15.75" customHeight="1"/>
    <row r="90" spans="1:26" ht="15.75" customHeight="1">
      <c r="A90" s="10"/>
      <c r="B90" s="10"/>
      <c r="C90" s="10"/>
      <c r="D90" s="10"/>
      <c r="E90" s="10"/>
      <c r="F90" s="10"/>
      <c r="G90" s="10"/>
      <c r="H90" s="1"/>
      <c r="I90" s="1"/>
      <c r="J90" s="1"/>
      <c r="K90" s="1"/>
      <c r="L90" s="1"/>
      <c r="M90" s="1"/>
      <c r="N90" s="1"/>
      <c r="O90" s="1"/>
      <c r="P90" s="1"/>
      <c r="Q90" s="1"/>
      <c r="R90" s="1"/>
      <c r="S90" s="1"/>
      <c r="T90" s="1"/>
      <c r="U90" s="1"/>
      <c r="V90" s="1"/>
      <c r="W90" s="1"/>
      <c r="X90" s="1"/>
      <c r="Y90" s="1"/>
      <c r="Z90" s="1"/>
    </row>
    <row r="91" spans="1:26" ht="15.75" customHeight="1"/>
    <row r="92" spans="1:26" ht="15.75" customHeight="1"/>
    <row r="93" spans="1:26" ht="15.75" customHeight="1"/>
    <row r="94" spans="1:26" ht="15.75" customHeight="1"/>
    <row r="95" spans="1:26" ht="15.75" customHeight="1"/>
    <row r="96" spans="1: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election activeCell="C6" sqref="C6"/>
    </sheetView>
  </sheetViews>
  <sheetFormatPr baseColWidth="10" defaultColWidth="14.5" defaultRowHeight="15" customHeight="1"/>
  <cols>
    <col min="1" max="4" width="15.83203125" style="6" customWidth="1"/>
    <col min="5" max="26" width="8.6640625" customWidth="1"/>
  </cols>
  <sheetData>
    <row r="1" spans="1:4">
      <c r="A1" s="5" t="s">
        <v>25</v>
      </c>
    </row>
    <row r="2" spans="1:4" s="4" customFormat="1">
      <c r="A2" s="7" t="s">
        <v>1</v>
      </c>
      <c r="B2" s="7" t="s">
        <v>2</v>
      </c>
      <c r="C2" s="7" t="s">
        <v>3</v>
      </c>
      <c r="D2" s="7" t="s">
        <v>4</v>
      </c>
    </row>
    <row r="3" spans="1:4">
      <c r="A3" s="5" t="s">
        <v>5</v>
      </c>
      <c r="B3" s="9">
        <v>53.55834404213973</v>
      </c>
      <c r="C3" s="9">
        <v>27.057054076751974</v>
      </c>
      <c r="D3" s="9">
        <v>26.501289965387755</v>
      </c>
    </row>
    <row r="4" spans="1:4">
      <c r="A4" s="5" t="s">
        <v>6</v>
      </c>
      <c r="B4" s="9">
        <v>46.158994475231637</v>
      </c>
      <c r="C4" s="9">
        <v>30.033454810640503</v>
      </c>
      <c r="D4" s="9">
        <v>16.125539664591134</v>
      </c>
    </row>
    <row r="5" spans="1:4">
      <c r="A5" s="5" t="s">
        <v>7</v>
      </c>
      <c r="B5" s="9">
        <v>49.390340602145926</v>
      </c>
      <c r="C5" s="9">
        <v>29.989098423549084</v>
      </c>
      <c r="D5" s="9">
        <v>19.401242178596839</v>
      </c>
    </row>
    <row r="6" spans="1:4">
      <c r="A6" s="5" t="s">
        <v>8</v>
      </c>
      <c r="B6" s="9">
        <v>42.141555091139715</v>
      </c>
      <c r="C6" s="9">
        <v>26.827122960496443</v>
      </c>
      <c r="D6" s="9">
        <v>15.31443213064327</v>
      </c>
    </row>
    <row r="7" spans="1:4">
      <c r="A7" s="5" t="s">
        <v>10</v>
      </c>
      <c r="B7" s="5">
        <v>48.748576238801817</v>
      </c>
      <c r="C7" s="5">
        <v>28.724998342409059</v>
      </c>
      <c r="D7" s="5">
        <v>20.023577896392759</v>
      </c>
    </row>
    <row r="9" spans="1:4">
      <c r="A9" s="5" t="s">
        <v>26</v>
      </c>
    </row>
    <row r="10" spans="1:4" s="4" customFormat="1">
      <c r="A10" s="7" t="s">
        <v>1</v>
      </c>
      <c r="B10" s="7" t="s">
        <v>2</v>
      </c>
      <c r="C10" s="7" t="s">
        <v>3</v>
      </c>
      <c r="D10" s="7" t="s">
        <v>4</v>
      </c>
    </row>
    <row r="11" spans="1:4">
      <c r="A11" s="5" t="s">
        <v>5</v>
      </c>
      <c r="B11" s="9">
        <v>53.394124975210516</v>
      </c>
      <c r="C11" s="9">
        <v>27.190906959343035</v>
      </c>
      <c r="D11" s="9">
        <v>26.203218015867485</v>
      </c>
    </row>
    <row r="12" spans="1:4">
      <c r="A12" s="5" t="s">
        <v>6</v>
      </c>
      <c r="B12" s="9">
        <v>46.520264560018873</v>
      </c>
      <c r="C12" s="9">
        <v>28.531475028491791</v>
      </c>
      <c r="D12" s="9">
        <v>17.988789531527079</v>
      </c>
    </row>
    <row r="13" spans="1:4">
      <c r="A13" s="5" t="s">
        <v>7</v>
      </c>
      <c r="B13" s="9">
        <v>58.05595942201532</v>
      </c>
      <c r="C13" s="9">
        <v>30.286930570261493</v>
      </c>
      <c r="D13" s="9">
        <v>27.769028851753827</v>
      </c>
    </row>
    <row r="14" spans="1:4">
      <c r="A14" s="5" t="s">
        <v>8</v>
      </c>
      <c r="B14" s="9">
        <v>43.059260670677027</v>
      </c>
      <c r="C14" s="9">
        <v>27.590570385661085</v>
      </c>
      <c r="D14" s="9">
        <v>15.46869028501594</v>
      </c>
    </row>
    <row r="15" spans="1:4">
      <c r="A15" s="5" t="s">
        <v>10</v>
      </c>
      <c r="B15" s="5">
        <v>50.130451032114699</v>
      </c>
      <c r="C15" s="5">
        <v>27.99596551215669</v>
      </c>
      <c r="D15" s="5">
        <v>22.134485519958009</v>
      </c>
    </row>
    <row r="17" spans="1:4">
      <c r="A17" s="5" t="s">
        <v>27</v>
      </c>
    </row>
    <row r="18" spans="1:4" s="4" customFormat="1">
      <c r="A18" s="7" t="s">
        <v>1</v>
      </c>
      <c r="B18" s="7" t="s">
        <v>2</v>
      </c>
      <c r="C18" s="7" t="s">
        <v>3</v>
      </c>
      <c r="D18" s="7" t="s">
        <v>4</v>
      </c>
    </row>
    <row r="19" spans="1:4">
      <c r="A19" s="5" t="s">
        <v>5</v>
      </c>
      <c r="B19" s="9">
        <v>54.224391200427128</v>
      </c>
      <c r="C19" s="9">
        <v>26.514167469578755</v>
      </c>
      <c r="D19" s="9">
        <v>27.710223730848369</v>
      </c>
    </row>
    <row r="20" spans="1:4">
      <c r="A20" s="5" t="s">
        <v>6</v>
      </c>
      <c r="B20" s="9">
        <v>45.33370351368167</v>
      </c>
      <c r="C20" s="9">
        <v>33.464600623248117</v>
      </c>
      <c r="D20" s="9">
        <v>11.869102890433558</v>
      </c>
    </row>
    <row r="21" spans="1:4" ht="15.75" customHeight="1">
      <c r="A21" s="5" t="s">
        <v>7</v>
      </c>
      <c r="B21" s="9">
        <v>47.770598328263915</v>
      </c>
      <c r="C21" s="9">
        <v>29.933428848348637</v>
      </c>
      <c r="D21" s="9">
        <v>17.837169479915275</v>
      </c>
    </row>
    <row r="22" spans="1:4" ht="15.75" customHeight="1">
      <c r="A22" s="5" t="s">
        <v>8</v>
      </c>
      <c r="B22" s="9">
        <v>40.197386196209862</v>
      </c>
      <c r="C22" s="9">
        <v>25.209751583428293</v>
      </c>
      <c r="D22" s="9">
        <v>14.987634612781569</v>
      </c>
    </row>
    <row r="23" spans="1:4" ht="15.75" customHeight="1">
      <c r="A23" s="5" t="s">
        <v>10</v>
      </c>
      <c r="B23" s="5">
        <v>47.392488578247253</v>
      </c>
      <c r="C23" s="5">
        <v>29.440426708299071</v>
      </c>
      <c r="D23" s="5">
        <v>17.952061869948182</v>
      </c>
    </row>
    <row r="24" spans="1:4" ht="15.75" customHeight="1"/>
    <row r="25" spans="1:4" ht="15.75" customHeight="1"/>
    <row r="26" spans="1:4" ht="15.75" customHeight="1"/>
    <row r="27" spans="1:4" ht="15.75" customHeight="1"/>
    <row r="28" spans="1:4" ht="15.75" customHeight="1"/>
    <row r="29" spans="1:4" ht="15.75" customHeight="1"/>
    <row r="30" spans="1:4" ht="15.75" customHeight="1"/>
    <row r="31" spans="1:4" ht="15.75" customHeight="1"/>
    <row r="32" spans="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Normal="100" workbookViewId="0">
      <selection activeCell="C5" sqref="C5"/>
    </sheetView>
  </sheetViews>
  <sheetFormatPr baseColWidth="10" defaultColWidth="14.5" defaultRowHeight="15" customHeight="1"/>
  <cols>
    <col min="1" max="1" width="15.83203125" style="16" customWidth="1"/>
    <col min="2" max="8" width="15.83203125" style="13" customWidth="1"/>
    <col min="9" max="26" width="8.6640625" style="13" customWidth="1"/>
    <col min="27" max="16384" width="14.5" style="13"/>
  </cols>
  <sheetData>
    <row r="1" spans="1:26">
      <c r="A1" s="14" t="s">
        <v>299</v>
      </c>
      <c r="B1" s="12"/>
      <c r="C1" s="12"/>
      <c r="D1" s="12"/>
      <c r="E1" s="12"/>
      <c r="F1" s="12"/>
      <c r="G1" s="12"/>
      <c r="H1" s="12"/>
      <c r="I1" s="12"/>
      <c r="J1" s="12"/>
      <c r="K1" s="12"/>
      <c r="L1" s="12"/>
      <c r="M1" s="12"/>
      <c r="N1" s="12"/>
      <c r="O1" s="12"/>
      <c r="P1" s="12"/>
      <c r="Q1" s="12"/>
      <c r="R1" s="12"/>
      <c r="S1" s="12"/>
      <c r="T1" s="12"/>
      <c r="U1" s="12"/>
      <c r="V1" s="12"/>
      <c r="W1" s="12"/>
      <c r="X1" s="12"/>
      <c r="Y1" s="12"/>
      <c r="Z1" s="12"/>
    </row>
    <row r="2" spans="1:26" s="18" customFormat="1">
      <c r="A2" s="17" t="s">
        <v>1</v>
      </c>
      <c r="B2" s="17" t="s">
        <v>28</v>
      </c>
      <c r="C2" s="17" t="s">
        <v>17</v>
      </c>
      <c r="D2" s="17" t="s">
        <v>18</v>
      </c>
      <c r="E2" s="17" t="s">
        <v>19</v>
      </c>
      <c r="F2" s="17" t="s">
        <v>20</v>
      </c>
      <c r="G2" s="17" t="s">
        <v>21</v>
      </c>
      <c r="H2" s="17" t="s">
        <v>22</v>
      </c>
      <c r="I2" s="17"/>
      <c r="J2" s="17"/>
      <c r="K2" s="17"/>
      <c r="L2" s="17"/>
      <c r="M2" s="17"/>
      <c r="N2" s="17"/>
      <c r="O2" s="17"/>
      <c r="P2" s="17"/>
      <c r="Q2" s="17"/>
      <c r="R2" s="17"/>
      <c r="S2" s="17"/>
      <c r="T2" s="17"/>
      <c r="U2" s="17"/>
      <c r="V2" s="17"/>
      <c r="W2" s="17"/>
      <c r="X2" s="17"/>
      <c r="Y2" s="17"/>
      <c r="Z2" s="17"/>
    </row>
    <row r="3" spans="1:26">
      <c r="A3" s="15" t="s">
        <v>5</v>
      </c>
      <c r="B3" s="11">
        <v>33.442382090984538</v>
      </c>
      <c r="C3" s="11">
        <v>17.874326080708951</v>
      </c>
      <c r="D3" s="11">
        <v>8.4290908503765518</v>
      </c>
      <c r="E3" s="11">
        <v>9.6951184317667938</v>
      </c>
      <c r="F3" s="11">
        <v>14.062283029872781</v>
      </c>
      <c r="G3" s="11">
        <v>10.921238659564541</v>
      </c>
      <c r="H3" s="11">
        <v>7.4778369497249226</v>
      </c>
    </row>
    <row r="4" spans="1:26">
      <c r="A4" s="15" t="s">
        <v>6</v>
      </c>
      <c r="B4" s="11">
        <v>40.488143967800411</v>
      </c>
      <c r="C4" s="11">
        <v>26.673782580762349</v>
      </c>
      <c r="D4" s="11">
        <v>14.292398669428559</v>
      </c>
      <c r="E4" s="11">
        <v>11.443717700218301</v>
      </c>
      <c r="F4" s="11">
        <v>5.6646272786127092</v>
      </c>
      <c r="G4" s="11">
        <v>15.97800973713103</v>
      </c>
      <c r="H4" s="11">
        <v>16.34421115223758</v>
      </c>
    </row>
    <row r="5" spans="1:26">
      <c r="A5" s="15" t="s">
        <v>7</v>
      </c>
      <c r="B5" s="11">
        <v>67.453258661999698</v>
      </c>
      <c r="C5" s="11">
        <v>62.99408174433038</v>
      </c>
      <c r="D5" s="11">
        <v>45.350734137827118</v>
      </c>
      <c r="E5" s="11">
        <v>34.266520513739927</v>
      </c>
      <c r="F5" s="11">
        <v>43.661966306272852</v>
      </c>
      <c r="G5" s="11" t="s">
        <v>29</v>
      </c>
      <c r="H5" s="11" t="s">
        <v>29</v>
      </c>
    </row>
    <row r="6" spans="1:26">
      <c r="A6" s="15" t="s">
        <v>8</v>
      </c>
      <c r="B6" s="11">
        <v>49.924071785383092</v>
      </c>
      <c r="C6" s="11">
        <v>34.475169558925302</v>
      </c>
      <c r="D6" s="11">
        <v>21.185564093744919</v>
      </c>
      <c r="E6" s="11">
        <v>23.36015939570424</v>
      </c>
      <c r="F6" s="11">
        <v>17.320207440598281</v>
      </c>
      <c r="G6" s="11">
        <v>18.165977530547099</v>
      </c>
      <c r="H6" s="11">
        <v>29.779533360506559</v>
      </c>
    </row>
    <row r="7" spans="1:26">
      <c r="A7" s="15" t="s">
        <v>10</v>
      </c>
      <c r="B7" s="11">
        <v>50.410984461171267</v>
      </c>
      <c r="C7" s="11">
        <v>41.932370684938157</v>
      </c>
      <c r="D7" s="11">
        <v>24.152967773123368</v>
      </c>
      <c r="E7" s="11">
        <v>20.656032622305549</v>
      </c>
      <c r="F7" s="11">
        <v>25.469956614981371</v>
      </c>
      <c r="G7" s="11">
        <v>16.235460292777329</v>
      </c>
      <c r="H7" s="11">
        <v>18.751513513292711</v>
      </c>
    </row>
    <row r="9" spans="1:26">
      <c r="A9" s="15" t="s">
        <v>30</v>
      </c>
    </row>
    <row r="10" spans="1:26" s="18" customFormat="1">
      <c r="A10" s="17" t="s">
        <v>1</v>
      </c>
      <c r="B10" s="17" t="s">
        <v>28</v>
      </c>
      <c r="C10" s="17" t="s">
        <v>17</v>
      </c>
      <c r="D10" s="17" t="s">
        <v>18</v>
      </c>
      <c r="E10" s="17" t="s">
        <v>19</v>
      </c>
      <c r="F10" s="17" t="s">
        <v>20</v>
      </c>
      <c r="G10" s="17" t="s">
        <v>21</v>
      </c>
      <c r="H10" s="17" t="s">
        <v>22</v>
      </c>
      <c r="I10" s="17"/>
      <c r="J10" s="17"/>
      <c r="K10" s="17"/>
      <c r="L10" s="17"/>
      <c r="M10" s="17"/>
      <c r="N10" s="17"/>
      <c r="O10" s="17"/>
      <c r="P10" s="17"/>
      <c r="Q10" s="17"/>
      <c r="R10" s="17"/>
      <c r="S10" s="17"/>
      <c r="T10" s="17"/>
      <c r="U10" s="17"/>
      <c r="V10" s="17"/>
      <c r="W10" s="17"/>
      <c r="X10" s="17"/>
      <c r="Y10" s="17"/>
      <c r="Z10" s="17"/>
    </row>
    <row r="11" spans="1:26">
      <c r="A11" s="15" t="s">
        <v>5</v>
      </c>
      <c r="B11" s="11">
        <v>79.497679380828217</v>
      </c>
      <c r="C11" s="11">
        <v>87.739355597666304</v>
      </c>
      <c r="D11" s="11">
        <v>96.281323612387041</v>
      </c>
      <c r="E11" s="11">
        <v>95.083620555905398</v>
      </c>
      <c r="F11" s="11">
        <v>93.291054694022193</v>
      </c>
      <c r="G11" s="11">
        <v>93.568356052247708</v>
      </c>
      <c r="H11" s="11">
        <v>95.831560770968537</v>
      </c>
    </row>
    <row r="12" spans="1:26">
      <c r="A12" s="15" t="s">
        <v>6</v>
      </c>
      <c r="B12" s="11">
        <v>76.54971442643901</v>
      </c>
      <c r="C12" s="11">
        <v>82.610178942067648</v>
      </c>
      <c r="D12" s="11">
        <v>91.138598954303433</v>
      </c>
      <c r="E12" s="11">
        <v>95.325921703783678</v>
      </c>
      <c r="F12" s="11">
        <v>97.191404149733444</v>
      </c>
      <c r="G12" s="11">
        <v>90.37283918236956</v>
      </c>
      <c r="H12" s="11">
        <v>91.736001585630717</v>
      </c>
    </row>
    <row r="13" spans="1:26">
      <c r="A13" s="15" t="s">
        <v>7</v>
      </c>
      <c r="B13" s="11">
        <v>53.347965438583067</v>
      </c>
      <c r="C13" s="11">
        <v>52.474380684401218</v>
      </c>
      <c r="D13" s="11">
        <v>73.204383072073611</v>
      </c>
      <c r="E13" s="11">
        <v>78.045765516355715</v>
      </c>
      <c r="F13" s="11">
        <v>72.077501040542913</v>
      </c>
      <c r="G13" s="11" t="s">
        <v>29</v>
      </c>
      <c r="H13" s="11" t="s">
        <v>29</v>
      </c>
    </row>
    <row r="14" spans="1:26">
      <c r="A14" s="15" t="s">
        <v>8</v>
      </c>
      <c r="B14" s="11">
        <v>66.138600671403822</v>
      </c>
      <c r="C14" s="11">
        <v>78.101049562534044</v>
      </c>
      <c r="D14" s="11">
        <v>86.335053455375103</v>
      </c>
      <c r="E14" s="11">
        <v>87.689863567734861</v>
      </c>
      <c r="F14" s="11">
        <v>89.21934164529074</v>
      </c>
      <c r="G14" s="11">
        <v>85.099381997571157</v>
      </c>
      <c r="H14" s="11">
        <v>82.705922358206038</v>
      </c>
    </row>
    <row r="15" spans="1:26">
      <c r="A15" s="15" t="s">
        <v>10</v>
      </c>
      <c r="B15" s="11">
        <v>66.792429953692107</v>
      </c>
      <c r="C15" s="11">
        <v>69.72135139989885</v>
      </c>
      <c r="D15" s="11">
        <v>86.027110462067128</v>
      </c>
      <c r="E15" s="11">
        <v>87.95678233946316</v>
      </c>
      <c r="F15" s="11">
        <v>84.661481995971627</v>
      </c>
      <c r="G15" s="11">
        <v>90.263576260768829</v>
      </c>
      <c r="H15" s="11">
        <v>91.038611557183756</v>
      </c>
    </row>
    <row r="17" spans="1:26">
      <c r="A17" s="15" t="s">
        <v>31</v>
      </c>
    </row>
    <row r="18" spans="1:26" s="18" customFormat="1">
      <c r="A18" s="17" t="s">
        <v>1</v>
      </c>
      <c r="B18" s="17" t="s">
        <v>28</v>
      </c>
      <c r="C18" s="17" t="s">
        <v>17</v>
      </c>
      <c r="D18" s="17" t="s">
        <v>18</v>
      </c>
      <c r="E18" s="17" t="s">
        <v>19</v>
      </c>
      <c r="F18" s="17" t="s">
        <v>20</v>
      </c>
      <c r="G18" s="17" t="s">
        <v>21</v>
      </c>
      <c r="H18" s="17" t="s">
        <v>22</v>
      </c>
      <c r="I18" s="17"/>
      <c r="J18" s="17"/>
      <c r="K18" s="17"/>
      <c r="L18" s="17"/>
      <c r="M18" s="17"/>
      <c r="N18" s="17"/>
      <c r="O18" s="17"/>
      <c r="P18" s="17"/>
      <c r="Q18" s="17"/>
      <c r="R18" s="17"/>
      <c r="S18" s="17"/>
      <c r="T18" s="17"/>
      <c r="U18" s="17"/>
      <c r="V18" s="17"/>
      <c r="W18" s="17"/>
      <c r="X18" s="17"/>
      <c r="Y18" s="17"/>
      <c r="Z18" s="17"/>
    </row>
    <row r="19" spans="1:26">
      <c r="A19" s="15" t="s">
        <v>5</v>
      </c>
      <c r="B19" s="11">
        <v>18.40232086500292</v>
      </c>
      <c r="C19" s="11">
        <v>10.409193960398991</v>
      </c>
      <c r="D19" s="11">
        <v>3.3728982883884968</v>
      </c>
      <c r="E19" s="11">
        <v>4.3755930261315044</v>
      </c>
      <c r="F19" s="11">
        <v>6.4604945939621148</v>
      </c>
      <c r="G19" s="11">
        <v>6.4316439477522893</v>
      </c>
      <c r="H19" s="11">
        <v>3.5179766799315</v>
      </c>
    </row>
    <row r="20" spans="1:26">
      <c r="A20" s="15" t="s">
        <v>6</v>
      </c>
      <c r="B20" s="11">
        <v>21.1033803070573</v>
      </c>
      <c r="C20" s="11">
        <v>12.90470200951879</v>
      </c>
      <c r="D20" s="11">
        <v>7.4864961259897216</v>
      </c>
      <c r="E20" s="11">
        <v>3.8597614428864389</v>
      </c>
      <c r="F20" s="11">
        <v>2.8085958502665598</v>
      </c>
      <c r="G20" s="11">
        <v>9.6271608176304451</v>
      </c>
      <c r="H20" s="11">
        <v>5.8929343868147406</v>
      </c>
    </row>
    <row r="21" spans="1:26" ht="15.75" customHeight="1">
      <c r="A21" s="15" t="s">
        <v>7</v>
      </c>
      <c r="B21" s="11">
        <v>32.827075758900122</v>
      </c>
      <c r="C21" s="11">
        <v>34.849870205531879</v>
      </c>
      <c r="D21" s="11">
        <v>20.822833821806299</v>
      </c>
      <c r="E21" s="11">
        <v>17.549740277109361</v>
      </c>
      <c r="F21" s="11">
        <v>20.60793632074083</v>
      </c>
      <c r="G21" s="11" t="s">
        <v>29</v>
      </c>
      <c r="H21" s="11" t="s">
        <v>29</v>
      </c>
    </row>
    <row r="22" spans="1:26" ht="15.75" customHeight="1">
      <c r="A22" s="15" t="s">
        <v>8</v>
      </c>
      <c r="B22" s="11">
        <v>30.48667986021076</v>
      </c>
      <c r="C22" s="11">
        <v>17.13143631362999</v>
      </c>
      <c r="D22" s="11">
        <v>12.85302041231008</v>
      </c>
      <c r="E22" s="11">
        <v>11.30005551166812</v>
      </c>
      <c r="F22" s="11">
        <v>10.780658354709249</v>
      </c>
      <c r="G22" s="11">
        <v>12.84722601472023</v>
      </c>
      <c r="H22" s="11">
        <v>17.294077641793962</v>
      </c>
    </row>
    <row r="23" spans="1:26" ht="15.75" customHeight="1">
      <c r="A23" s="15" t="s">
        <v>10</v>
      </c>
      <c r="B23" s="11">
        <v>26.305113072057619</v>
      </c>
      <c r="C23" s="11">
        <v>22.738656259079139</v>
      </c>
      <c r="D23" s="11">
        <v>11.46339520533871</v>
      </c>
      <c r="E23" s="11">
        <v>9.958201316591218</v>
      </c>
      <c r="F23" s="11">
        <v>12.293177620881661</v>
      </c>
      <c r="G23" s="11">
        <v>9.4885985117702933</v>
      </c>
      <c r="H23" s="11">
        <v>6.7939430819091573</v>
      </c>
    </row>
    <row r="24" spans="1:26" ht="15.75" customHeight="1"/>
    <row r="25" spans="1:26" ht="15.75" customHeight="1">
      <c r="A25" s="15" t="s">
        <v>32</v>
      </c>
    </row>
    <row r="26" spans="1:26" s="18" customFormat="1" ht="15.75" customHeight="1">
      <c r="A26" s="17" t="s">
        <v>1</v>
      </c>
      <c r="B26" s="17" t="s">
        <v>28</v>
      </c>
      <c r="C26" s="17" t="s">
        <v>17</v>
      </c>
      <c r="D26" s="17" t="s">
        <v>18</v>
      </c>
      <c r="E26" s="17" t="s">
        <v>19</v>
      </c>
      <c r="F26" s="17" t="s">
        <v>20</v>
      </c>
      <c r="G26" s="17" t="s">
        <v>21</v>
      </c>
      <c r="H26" s="17" t="s">
        <v>22</v>
      </c>
      <c r="I26" s="17"/>
      <c r="J26" s="17"/>
      <c r="K26" s="17"/>
      <c r="L26" s="17"/>
      <c r="M26" s="17"/>
      <c r="N26" s="17"/>
      <c r="O26" s="17"/>
      <c r="P26" s="17"/>
      <c r="Q26" s="17"/>
      <c r="R26" s="17"/>
      <c r="S26" s="17"/>
      <c r="T26" s="17"/>
      <c r="U26" s="17"/>
      <c r="V26" s="17"/>
      <c r="W26" s="17"/>
      <c r="X26" s="17"/>
      <c r="Y26" s="17"/>
      <c r="Z26" s="17"/>
    </row>
    <row r="27" spans="1:26" ht="15.75" customHeight="1">
      <c r="A27" s="15" t="s">
        <v>5</v>
      </c>
      <c r="B27" s="11">
        <v>2.0999997541688651</v>
      </c>
      <c r="C27" s="11">
        <v>1.85145044193471</v>
      </c>
      <c r="D27" s="11">
        <v>0.34577809922446578</v>
      </c>
      <c r="E27" s="11">
        <v>0.54078641796309079</v>
      </c>
      <c r="F27" s="11">
        <v>0.24845071201569749</v>
      </c>
      <c r="G27" s="11">
        <v>0</v>
      </c>
      <c r="H27" s="11">
        <v>0.65046254909996271</v>
      </c>
    </row>
    <row r="28" spans="1:26" ht="15.75" customHeight="1">
      <c r="A28" s="15" t="s">
        <v>6</v>
      </c>
      <c r="B28" s="11">
        <v>2.3469052665036978</v>
      </c>
      <c r="C28" s="11">
        <v>4.4851190484135586</v>
      </c>
      <c r="D28" s="11">
        <v>1.374904919706845</v>
      </c>
      <c r="E28" s="11">
        <v>0.81431685332988546</v>
      </c>
      <c r="F28" s="11">
        <v>0</v>
      </c>
      <c r="G28" s="11">
        <v>0</v>
      </c>
      <c r="H28" s="11">
        <v>2.371064027554544</v>
      </c>
    </row>
    <row r="29" spans="1:26" ht="15.75" customHeight="1">
      <c r="A29" s="15" t="s">
        <v>7</v>
      </c>
      <c r="B29" s="11">
        <v>13.82495880251682</v>
      </c>
      <c r="C29" s="11">
        <v>12.67574911006691</v>
      </c>
      <c r="D29" s="11">
        <v>5.9727831061200876</v>
      </c>
      <c r="E29" s="11">
        <v>4.404494206534924</v>
      </c>
      <c r="F29" s="11">
        <v>7.3145626387162563</v>
      </c>
      <c r="G29" s="11" t="s">
        <v>29</v>
      </c>
      <c r="H29" s="11" t="s">
        <v>29</v>
      </c>
    </row>
    <row r="30" spans="1:26" ht="15.75" customHeight="1">
      <c r="A30" s="15" t="s">
        <v>8</v>
      </c>
      <c r="B30" s="11">
        <v>3.3747194683854209</v>
      </c>
      <c r="C30" s="11">
        <v>4.7675141238359737</v>
      </c>
      <c r="D30" s="11">
        <v>0.8119261323148188</v>
      </c>
      <c r="E30" s="11">
        <v>1.01008092059702</v>
      </c>
      <c r="F30" s="11">
        <v>0</v>
      </c>
      <c r="G30" s="11">
        <v>2.0533919877086109</v>
      </c>
      <c r="H30" s="11">
        <v>0</v>
      </c>
    </row>
    <row r="31" spans="1:26" ht="15.75" customHeight="1">
      <c r="A31" s="15" t="s">
        <v>10</v>
      </c>
      <c r="B31" s="11">
        <v>6.9024569742502804</v>
      </c>
      <c r="C31" s="11">
        <v>7.5399923410220184</v>
      </c>
      <c r="D31" s="11">
        <v>2.5094943325941572</v>
      </c>
      <c r="E31" s="11">
        <v>2.0850163439456182</v>
      </c>
      <c r="F31" s="11">
        <v>3.0453403831467192</v>
      </c>
      <c r="G31" s="11">
        <v>0.2478252274608809</v>
      </c>
      <c r="H31" s="11">
        <v>2.1674453609070841</v>
      </c>
    </row>
    <row r="32" spans="1:26" ht="15.75" customHeight="1"/>
    <row r="33" spans="1:26" ht="15.75" customHeight="1">
      <c r="A33" s="15" t="s">
        <v>33</v>
      </c>
    </row>
    <row r="34" spans="1:26" s="18" customFormat="1" ht="15.75" customHeight="1">
      <c r="A34" s="17" t="s">
        <v>1</v>
      </c>
      <c r="B34" s="17" t="s">
        <v>28</v>
      </c>
      <c r="C34" s="17" t="s">
        <v>17</v>
      </c>
      <c r="D34" s="17" t="s">
        <v>18</v>
      </c>
      <c r="E34" s="17" t="s">
        <v>19</v>
      </c>
      <c r="F34" s="17" t="s">
        <v>20</v>
      </c>
      <c r="G34" s="17" t="s">
        <v>21</v>
      </c>
      <c r="H34" s="17" t="s">
        <v>22</v>
      </c>
      <c r="I34" s="17"/>
      <c r="J34" s="17"/>
      <c r="K34" s="17"/>
      <c r="L34" s="17"/>
      <c r="M34" s="17"/>
      <c r="N34" s="17"/>
      <c r="O34" s="17"/>
      <c r="P34" s="17"/>
      <c r="Q34" s="17"/>
      <c r="R34" s="17"/>
      <c r="S34" s="17"/>
      <c r="T34" s="17"/>
      <c r="U34" s="17"/>
      <c r="V34" s="17"/>
      <c r="W34" s="17"/>
      <c r="X34" s="17"/>
      <c r="Y34" s="17"/>
      <c r="Z34" s="17"/>
    </row>
    <row r="35" spans="1:26" ht="15.75" customHeight="1">
      <c r="A35" s="15" t="s">
        <v>5</v>
      </c>
      <c r="B35" s="11">
        <v>73.6372120541604</v>
      </c>
      <c r="C35" s="11">
        <v>70.773635928341548</v>
      </c>
      <c r="D35" s="11">
        <v>79.833245530203456</v>
      </c>
      <c r="E35" s="11">
        <v>70.229880017611904</v>
      </c>
      <c r="F35" s="11">
        <v>71.533983799320097</v>
      </c>
      <c r="G35" s="11">
        <v>74.195415273673234</v>
      </c>
      <c r="H35" s="11">
        <v>71.108260168311077</v>
      </c>
    </row>
    <row r="36" spans="1:26" ht="15.75" customHeight="1">
      <c r="A36" s="15" t="s">
        <v>6</v>
      </c>
      <c r="B36" s="11">
        <v>90.220367765383955</v>
      </c>
      <c r="C36" s="11">
        <v>91.31009906627699</v>
      </c>
      <c r="D36" s="11">
        <v>92.587715238704774</v>
      </c>
      <c r="E36" s="11">
        <v>86.653635260908814</v>
      </c>
      <c r="F36" s="11">
        <v>83.902571711039229</v>
      </c>
      <c r="G36" s="11">
        <v>84.643523920482593</v>
      </c>
      <c r="H36" s="11">
        <v>87.785080601107268</v>
      </c>
    </row>
    <row r="37" spans="1:26" ht="15.75" customHeight="1">
      <c r="A37" s="15" t="s">
        <v>7</v>
      </c>
      <c r="B37" s="11">
        <v>98.358004621174942</v>
      </c>
      <c r="C37" s="11">
        <v>97.085766278241096</v>
      </c>
      <c r="D37" s="11">
        <v>96.080809601556894</v>
      </c>
      <c r="E37" s="11">
        <v>97.175495448722316</v>
      </c>
      <c r="F37" s="11">
        <v>97.795490886789395</v>
      </c>
      <c r="G37" s="11" t="s">
        <v>29</v>
      </c>
      <c r="H37" s="11" t="s">
        <v>29</v>
      </c>
    </row>
    <row r="38" spans="1:26" ht="15.75" customHeight="1">
      <c r="A38" s="15" t="s">
        <v>8</v>
      </c>
      <c r="B38" s="11">
        <v>41.254772395233928</v>
      </c>
      <c r="C38" s="11">
        <v>45.58428949902401</v>
      </c>
      <c r="D38" s="11">
        <v>36.562191250036733</v>
      </c>
      <c r="E38" s="11">
        <v>45.063774160457328</v>
      </c>
      <c r="F38" s="11">
        <v>36.139873429187134</v>
      </c>
      <c r="G38" s="11">
        <v>55.407701229705182</v>
      </c>
      <c r="H38" s="11">
        <v>45.086440849125843</v>
      </c>
    </row>
    <row r="39" spans="1:26" ht="15.75" customHeight="1">
      <c r="A39" s="15" t="s">
        <v>10</v>
      </c>
      <c r="B39" s="11">
        <v>81.193150342410107</v>
      </c>
      <c r="C39" s="11">
        <v>83.061613880857749</v>
      </c>
      <c r="D39" s="11">
        <v>80.354948523495167</v>
      </c>
      <c r="E39" s="11">
        <v>80.371881405471626</v>
      </c>
      <c r="F39" s="11">
        <v>79.297225176336056</v>
      </c>
      <c r="G39" s="11">
        <v>83.841379154922024</v>
      </c>
      <c r="H39" s="11">
        <v>75.947069974123679</v>
      </c>
    </row>
    <row r="40" spans="1:26" ht="15.75" customHeight="1"/>
    <row r="41" spans="1:26" ht="15.75" customHeight="1">
      <c r="A41" s="15" t="s">
        <v>34</v>
      </c>
    </row>
    <row r="42" spans="1:26" s="18" customFormat="1" ht="15.75" customHeight="1">
      <c r="A42" s="17" t="s">
        <v>1</v>
      </c>
      <c r="B42" s="17" t="s">
        <v>28</v>
      </c>
      <c r="C42" s="17" t="s">
        <v>17</v>
      </c>
      <c r="D42" s="17" t="s">
        <v>18</v>
      </c>
      <c r="E42" s="17" t="s">
        <v>19</v>
      </c>
      <c r="F42" s="17" t="s">
        <v>20</v>
      </c>
      <c r="G42" s="17" t="s">
        <v>21</v>
      </c>
      <c r="H42" s="17" t="s">
        <v>22</v>
      </c>
      <c r="I42" s="17"/>
      <c r="J42" s="17"/>
      <c r="K42" s="17"/>
      <c r="L42" s="17"/>
      <c r="M42" s="17"/>
      <c r="N42" s="17"/>
      <c r="O42" s="17"/>
      <c r="P42" s="17"/>
      <c r="Q42" s="17"/>
      <c r="R42" s="17"/>
      <c r="S42" s="17"/>
      <c r="T42" s="17"/>
      <c r="U42" s="17"/>
      <c r="V42" s="17"/>
      <c r="W42" s="17"/>
      <c r="X42" s="17"/>
      <c r="Y42" s="17"/>
      <c r="Z42" s="17"/>
    </row>
    <row r="43" spans="1:26" ht="15.75" customHeight="1">
      <c r="A43" s="15" t="s">
        <v>5</v>
      </c>
      <c r="B43" s="11">
        <v>60.826326521431227</v>
      </c>
      <c r="C43" s="11">
        <v>64.136146723602295</v>
      </c>
      <c r="D43" s="11">
        <v>53.203542416640737</v>
      </c>
      <c r="E43" s="11">
        <v>66.09509970284131</v>
      </c>
      <c r="F43" s="11">
        <v>60.483947968543639</v>
      </c>
      <c r="G43" s="11">
        <v>60.189129822480439</v>
      </c>
      <c r="H43" s="11">
        <v>61.39548985507377</v>
      </c>
    </row>
    <row r="44" spans="1:26" ht="15.75" customHeight="1">
      <c r="A44" s="15" t="s">
        <v>6</v>
      </c>
      <c r="B44" s="11">
        <v>61.101478910070007</v>
      </c>
      <c r="C44" s="11">
        <v>62.976630146595362</v>
      </c>
      <c r="D44" s="11">
        <v>63.4939247180207</v>
      </c>
      <c r="E44" s="11">
        <v>60.636820033322131</v>
      </c>
      <c r="F44" s="11">
        <v>65.783361592657442</v>
      </c>
      <c r="G44" s="11">
        <v>66.582793488365567</v>
      </c>
      <c r="H44" s="11">
        <v>74.638869261181569</v>
      </c>
    </row>
    <row r="45" spans="1:26" ht="15.75" customHeight="1">
      <c r="A45" s="15" t="s">
        <v>7</v>
      </c>
      <c r="B45" s="11">
        <v>73.475036492357347</v>
      </c>
      <c r="C45" s="11">
        <v>75.314920796285421</v>
      </c>
      <c r="D45" s="11">
        <v>83.401239850528214</v>
      </c>
      <c r="E45" s="11">
        <v>76.300145612769967</v>
      </c>
      <c r="F45" s="11">
        <v>76.58754424134402</v>
      </c>
      <c r="G45" s="11" t="s">
        <v>29</v>
      </c>
      <c r="H45" s="11" t="s">
        <v>29</v>
      </c>
    </row>
    <row r="46" spans="1:26" ht="15.75" customHeight="1">
      <c r="A46" s="15" t="s">
        <v>8</v>
      </c>
      <c r="B46" s="11">
        <v>46.440679616280242</v>
      </c>
      <c r="C46" s="11">
        <v>47.541138407732191</v>
      </c>
      <c r="D46" s="11">
        <v>42.051806994292512</v>
      </c>
      <c r="E46" s="11">
        <v>46.868614929749349</v>
      </c>
      <c r="F46" s="11">
        <v>51.306269222012432</v>
      </c>
      <c r="G46" s="11">
        <v>44.23834107080188</v>
      </c>
      <c r="H46" s="11">
        <v>36.585375971287156</v>
      </c>
    </row>
    <row r="47" spans="1:26" ht="15.75" customHeight="1">
      <c r="A47" s="15" t="s">
        <v>10</v>
      </c>
      <c r="B47" s="11">
        <v>63.62514483563961</v>
      </c>
      <c r="C47" s="11">
        <v>67.160150332191577</v>
      </c>
      <c r="D47" s="11">
        <v>63.365446659224993</v>
      </c>
      <c r="E47" s="11">
        <v>66.872983271792975</v>
      </c>
      <c r="F47" s="11">
        <v>66.440816053713021</v>
      </c>
      <c r="G47" s="11">
        <v>65.402949424254416</v>
      </c>
      <c r="H47" s="11">
        <v>63.465016196201347</v>
      </c>
    </row>
    <row r="48" spans="1:26" ht="15.75" customHeight="1"/>
    <row r="49" spans="1:26" ht="15.75" customHeight="1">
      <c r="A49" s="15" t="s">
        <v>35</v>
      </c>
    </row>
    <row r="50" spans="1:26" s="18" customFormat="1" ht="15.75" customHeight="1">
      <c r="A50" s="17" t="s">
        <v>1</v>
      </c>
      <c r="B50" s="17" t="s">
        <v>28</v>
      </c>
      <c r="C50" s="17" t="s">
        <v>17</v>
      </c>
      <c r="D50" s="17" t="s">
        <v>18</v>
      </c>
      <c r="E50" s="17" t="s">
        <v>19</v>
      </c>
      <c r="F50" s="17" t="s">
        <v>20</v>
      </c>
      <c r="G50" s="17" t="s">
        <v>21</v>
      </c>
      <c r="H50" s="17" t="s">
        <v>22</v>
      </c>
      <c r="I50" s="17"/>
      <c r="J50" s="17"/>
      <c r="K50" s="17"/>
      <c r="L50" s="17"/>
      <c r="M50" s="17"/>
      <c r="N50" s="17"/>
      <c r="O50" s="17"/>
      <c r="P50" s="17"/>
      <c r="Q50" s="17"/>
      <c r="R50" s="17"/>
      <c r="S50" s="17"/>
      <c r="T50" s="17"/>
      <c r="U50" s="17"/>
      <c r="V50" s="17"/>
      <c r="W50" s="17"/>
      <c r="X50" s="17"/>
      <c r="Y50" s="17"/>
      <c r="Z50" s="17"/>
    </row>
    <row r="51" spans="1:26" ht="15.75" customHeight="1">
      <c r="A51" s="15" t="s">
        <v>5</v>
      </c>
      <c r="B51" s="11">
        <v>56.690101791479798</v>
      </c>
      <c r="C51" s="11">
        <v>56.889955630666947</v>
      </c>
      <c r="D51" s="11">
        <v>41.953472399306918</v>
      </c>
      <c r="E51" s="11">
        <v>60.957352436456063</v>
      </c>
      <c r="F51" s="11">
        <v>55.916539133054357</v>
      </c>
      <c r="G51" s="11">
        <v>51.948566705633993</v>
      </c>
      <c r="H51" s="11">
        <v>46.865881278507679</v>
      </c>
    </row>
    <row r="52" spans="1:26" ht="15.75" customHeight="1">
      <c r="A52" s="15" t="s">
        <v>6</v>
      </c>
      <c r="B52" s="11">
        <v>63.500232405192243</v>
      </c>
      <c r="C52" s="11">
        <v>62.741569668084217</v>
      </c>
      <c r="D52" s="11">
        <v>52.485178370131202</v>
      </c>
      <c r="E52" s="11">
        <v>58.322120431021837</v>
      </c>
      <c r="F52" s="11">
        <v>39.452619618294229</v>
      </c>
      <c r="G52" s="11">
        <v>63.668416621251133</v>
      </c>
      <c r="H52" s="11">
        <v>55.381619014955071</v>
      </c>
    </row>
    <row r="53" spans="1:26" ht="15.75" customHeight="1">
      <c r="A53" s="15" t="s">
        <v>7</v>
      </c>
      <c r="B53" s="11">
        <v>92.503115808519667</v>
      </c>
      <c r="C53" s="11">
        <v>92.994305509103157</v>
      </c>
      <c r="D53" s="11">
        <v>84.855407716440922</v>
      </c>
      <c r="E53" s="11">
        <v>87.181819104146996</v>
      </c>
      <c r="F53" s="11">
        <v>87.040771695819487</v>
      </c>
      <c r="G53" s="11" t="s">
        <v>29</v>
      </c>
      <c r="H53" s="11" t="s">
        <v>29</v>
      </c>
    </row>
    <row r="54" spans="1:26" ht="15.75" customHeight="1">
      <c r="A54" s="15" t="s">
        <v>8</v>
      </c>
      <c r="B54" s="11">
        <v>45.580330996430803</v>
      </c>
      <c r="C54" s="11">
        <v>45.757386008104923</v>
      </c>
      <c r="D54" s="11">
        <v>34.429578155567832</v>
      </c>
      <c r="E54" s="11">
        <v>45.338643928352383</v>
      </c>
      <c r="F54" s="11">
        <v>34.817684839919032</v>
      </c>
      <c r="G54" s="11">
        <v>51.18687568860927</v>
      </c>
      <c r="H54" s="11">
        <v>39.481335068055557</v>
      </c>
    </row>
    <row r="55" spans="1:26" ht="15.75" customHeight="1">
      <c r="A55" s="15" t="s">
        <v>10</v>
      </c>
      <c r="B55" s="11">
        <v>70.135714313041689</v>
      </c>
      <c r="C55" s="11">
        <v>73.09709963988513</v>
      </c>
      <c r="D55" s="11">
        <v>57.18200619561717</v>
      </c>
      <c r="E55" s="11">
        <v>68.593375546459768</v>
      </c>
      <c r="F55" s="11">
        <v>64.344036190350835</v>
      </c>
      <c r="G55" s="11">
        <v>65.389151616155345</v>
      </c>
      <c r="H55" s="11">
        <v>56.008939257353653</v>
      </c>
    </row>
    <row r="56" spans="1:26" ht="15.75" customHeight="1"/>
    <row r="57" spans="1:26" ht="15.75" customHeight="1">
      <c r="A57" s="15" t="s">
        <v>36</v>
      </c>
    </row>
    <row r="58" spans="1:26" s="18" customFormat="1" ht="15.75" customHeight="1">
      <c r="A58" s="17" t="s">
        <v>1</v>
      </c>
      <c r="B58" s="17" t="s">
        <v>28</v>
      </c>
      <c r="C58" s="17" t="s">
        <v>17</v>
      </c>
      <c r="D58" s="17" t="s">
        <v>18</v>
      </c>
      <c r="E58" s="17" t="s">
        <v>19</v>
      </c>
      <c r="F58" s="17" t="s">
        <v>20</v>
      </c>
      <c r="G58" s="17" t="s">
        <v>21</v>
      </c>
      <c r="H58" s="17" t="s">
        <v>22</v>
      </c>
      <c r="I58" s="17"/>
      <c r="J58" s="17"/>
      <c r="K58" s="17"/>
      <c r="L58" s="17"/>
      <c r="M58" s="17"/>
      <c r="N58" s="17"/>
      <c r="O58" s="17"/>
      <c r="P58" s="17"/>
      <c r="Q58" s="17"/>
      <c r="R58" s="17"/>
      <c r="S58" s="17"/>
      <c r="T58" s="17"/>
      <c r="U58" s="17"/>
      <c r="V58" s="17"/>
      <c r="W58" s="17"/>
      <c r="X58" s="17"/>
      <c r="Y58" s="17"/>
      <c r="Z58" s="17"/>
    </row>
    <row r="59" spans="1:26" ht="15.75" customHeight="1">
      <c r="A59" s="15" t="s">
        <v>5</v>
      </c>
      <c r="B59" s="11">
        <v>10.581613501760989</v>
      </c>
      <c r="C59" s="11">
        <v>10.757964590746891</v>
      </c>
      <c r="D59" s="11">
        <v>6.5938116379422977</v>
      </c>
      <c r="E59" s="11">
        <v>10.117320108038889</v>
      </c>
      <c r="F59" s="11">
        <v>10.631047687052151</v>
      </c>
      <c r="G59" s="11">
        <v>9.1173239358414762</v>
      </c>
      <c r="H59" s="11">
        <v>6.9464981080587229</v>
      </c>
    </row>
    <row r="60" spans="1:26" ht="15.75" customHeight="1">
      <c r="A60" s="15" t="s">
        <v>6</v>
      </c>
      <c r="B60" s="11">
        <v>15.073796623012059</v>
      </c>
      <c r="C60" s="11">
        <v>16.382882317089379</v>
      </c>
      <c r="D60" s="11">
        <v>7.1766007266300216</v>
      </c>
      <c r="E60" s="11">
        <v>9.2499302337022709</v>
      </c>
      <c r="F60" s="11">
        <v>3.4074626838628159</v>
      </c>
      <c r="G60" s="11">
        <v>17.268448473594539</v>
      </c>
      <c r="H60" s="11">
        <v>14.53537384182445</v>
      </c>
    </row>
    <row r="61" spans="1:26" ht="15.75" customHeight="1">
      <c r="A61" s="15" t="s">
        <v>7</v>
      </c>
      <c r="B61" s="11">
        <v>60.676439181632993</v>
      </c>
      <c r="C61" s="11">
        <v>66.410429587380918</v>
      </c>
      <c r="D61" s="11">
        <v>58.332892928497991</v>
      </c>
      <c r="E61" s="11">
        <v>57.612125192574361</v>
      </c>
      <c r="F61" s="11">
        <v>58.952616883118623</v>
      </c>
      <c r="G61" s="11" t="s">
        <v>29</v>
      </c>
      <c r="H61" s="11" t="s">
        <v>29</v>
      </c>
    </row>
    <row r="62" spans="1:26" ht="15.75" customHeight="1">
      <c r="A62" s="15" t="s">
        <v>8</v>
      </c>
      <c r="B62" s="11">
        <v>4.2219640673131531</v>
      </c>
      <c r="C62" s="11">
        <v>3.9193243761983978</v>
      </c>
      <c r="D62" s="11">
        <v>2.5388795750488602</v>
      </c>
      <c r="E62" s="11">
        <v>3.0292217170097828</v>
      </c>
      <c r="F62" s="11">
        <v>3.3125449760465582</v>
      </c>
      <c r="G62" s="11">
        <v>6.8826125162021281</v>
      </c>
      <c r="H62" s="11">
        <v>2.9249852094954552</v>
      </c>
    </row>
    <row r="63" spans="1:26" ht="15.75" customHeight="1">
      <c r="A63" s="15" t="s">
        <v>10</v>
      </c>
      <c r="B63" s="11">
        <v>29.924490426047701</v>
      </c>
      <c r="C63" s="11">
        <v>36.433191473516636</v>
      </c>
      <c r="D63" s="11">
        <v>24.218891777918941</v>
      </c>
      <c r="E63" s="11">
        <v>26.92624822231004</v>
      </c>
      <c r="F63" s="11">
        <v>28.470103448440259</v>
      </c>
      <c r="G63" s="11">
        <v>24.200030544095402</v>
      </c>
      <c r="H63" s="11">
        <v>21.76662152839889</v>
      </c>
    </row>
    <row r="64" spans="1:26" ht="15.75" customHeight="1"/>
    <row r="65" spans="1:26" ht="15.75" customHeight="1">
      <c r="A65" s="15" t="s">
        <v>37</v>
      </c>
    </row>
    <row r="66" spans="1:26" s="18" customFormat="1" ht="15.75" customHeight="1">
      <c r="A66" s="17" t="s">
        <v>1</v>
      </c>
      <c r="B66" s="17" t="s">
        <v>28</v>
      </c>
      <c r="C66" s="17" t="s">
        <v>17</v>
      </c>
      <c r="D66" s="17" t="s">
        <v>18</v>
      </c>
      <c r="E66" s="17" t="s">
        <v>19</v>
      </c>
      <c r="F66" s="17" t="s">
        <v>20</v>
      </c>
      <c r="G66" s="17" t="s">
        <v>21</v>
      </c>
      <c r="H66" s="17" t="s">
        <v>22</v>
      </c>
      <c r="I66" s="17"/>
      <c r="J66" s="17"/>
      <c r="K66" s="17"/>
      <c r="L66" s="17"/>
      <c r="M66" s="17"/>
      <c r="N66" s="17"/>
      <c r="O66" s="17"/>
      <c r="P66" s="17"/>
      <c r="Q66" s="17"/>
      <c r="R66" s="17"/>
      <c r="S66" s="17"/>
      <c r="T66" s="17"/>
      <c r="U66" s="17"/>
      <c r="V66" s="17"/>
      <c r="W66" s="17"/>
      <c r="X66" s="17"/>
      <c r="Y66" s="17"/>
      <c r="Z66" s="17"/>
    </row>
    <row r="67" spans="1:26" ht="15.75" customHeight="1">
      <c r="A67" s="15" t="s">
        <v>5</v>
      </c>
      <c r="B67" s="11">
        <v>71.710942589447697</v>
      </c>
      <c r="C67" s="11">
        <v>70.765826355278463</v>
      </c>
      <c r="D67" s="11">
        <v>63.413430477515391</v>
      </c>
      <c r="E67" s="11">
        <v>72.305588017250386</v>
      </c>
      <c r="F67" s="11">
        <v>72.381963775044525</v>
      </c>
      <c r="G67" s="11">
        <v>68.297248734762476</v>
      </c>
      <c r="H67" s="11">
        <v>65.398390540316427</v>
      </c>
    </row>
    <row r="68" spans="1:26" ht="15.75" customHeight="1">
      <c r="A68" s="15" t="s">
        <v>6</v>
      </c>
      <c r="B68" s="11">
        <v>63.640220652502563</v>
      </c>
      <c r="C68" s="11">
        <v>60.73537299494248</v>
      </c>
      <c r="D68" s="11">
        <v>59.745255944143693</v>
      </c>
      <c r="E68" s="11">
        <v>57.443151521498287</v>
      </c>
      <c r="F68" s="11">
        <v>61.070904584482747</v>
      </c>
      <c r="G68" s="11">
        <v>58.643299316851007</v>
      </c>
      <c r="H68" s="11">
        <v>59.568363255552278</v>
      </c>
    </row>
    <row r="69" spans="1:26" ht="15.75" customHeight="1">
      <c r="A69" s="15" t="s">
        <v>7</v>
      </c>
      <c r="B69" s="11">
        <v>91.531452896970876</v>
      </c>
      <c r="C69" s="11">
        <v>91.735415761024186</v>
      </c>
      <c r="D69" s="11">
        <v>92.543834068298864</v>
      </c>
      <c r="E69" s="11">
        <v>81.568402324558917</v>
      </c>
      <c r="F69" s="11">
        <v>81.890021359458629</v>
      </c>
      <c r="G69" s="11" t="s">
        <v>29</v>
      </c>
      <c r="H69" s="11" t="s">
        <v>29</v>
      </c>
    </row>
    <row r="70" spans="1:26" ht="15.75" customHeight="1">
      <c r="A70" s="15" t="s">
        <v>8</v>
      </c>
      <c r="B70" s="11">
        <v>32.4405089482363</v>
      </c>
      <c r="C70" s="11">
        <v>34.964228648291353</v>
      </c>
      <c r="D70" s="11">
        <v>25.685788787153012</v>
      </c>
      <c r="E70" s="11">
        <v>33.664027193395547</v>
      </c>
      <c r="F70" s="11">
        <v>27.189887192513609</v>
      </c>
      <c r="G70" s="11">
        <v>43.357868959888393</v>
      </c>
      <c r="H70" s="11">
        <v>28.9484883793174</v>
      </c>
    </row>
    <row r="71" spans="1:26" ht="15.75" customHeight="1">
      <c r="A71" s="15" t="s">
        <v>10</v>
      </c>
      <c r="B71" s="11">
        <v>72.110628350647787</v>
      </c>
      <c r="C71" s="11">
        <v>74.694056922750875</v>
      </c>
      <c r="D71" s="11">
        <v>67.263132645518439</v>
      </c>
      <c r="E71" s="11">
        <v>69.001244196756502</v>
      </c>
      <c r="F71" s="11">
        <v>69.904579231811397</v>
      </c>
      <c r="G71" s="11">
        <v>69.490785017449241</v>
      </c>
      <c r="H71" s="11">
        <v>64.901517974866962</v>
      </c>
    </row>
    <row r="72" spans="1:26" ht="15.75" customHeight="1"/>
    <row r="73" spans="1:26" ht="15.75" customHeight="1">
      <c r="A73" s="15" t="s">
        <v>38</v>
      </c>
    </row>
    <row r="74" spans="1:26" s="18" customFormat="1" ht="15.75" customHeight="1">
      <c r="A74" s="17" t="s">
        <v>1</v>
      </c>
      <c r="B74" s="17" t="s">
        <v>28</v>
      </c>
      <c r="C74" s="17" t="s">
        <v>17</v>
      </c>
      <c r="D74" s="17" t="s">
        <v>18</v>
      </c>
      <c r="E74" s="17" t="s">
        <v>19</v>
      </c>
      <c r="F74" s="17" t="s">
        <v>20</v>
      </c>
      <c r="G74" s="17" t="s">
        <v>21</v>
      </c>
      <c r="H74" s="17" t="s">
        <v>22</v>
      </c>
      <c r="I74" s="17"/>
      <c r="J74" s="17"/>
      <c r="K74" s="17"/>
      <c r="L74" s="17"/>
      <c r="M74" s="17"/>
      <c r="N74" s="17"/>
      <c r="O74" s="17"/>
      <c r="P74" s="17"/>
      <c r="Q74" s="17"/>
      <c r="R74" s="17"/>
      <c r="S74" s="17"/>
      <c r="T74" s="17"/>
      <c r="U74" s="17"/>
      <c r="V74" s="17"/>
      <c r="W74" s="17"/>
      <c r="X74" s="17"/>
      <c r="Y74" s="17"/>
      <c r="Z74" s="17"/>
    </row>
    <row r="75" spans="1:26" ht="15.75" customHeight="1">
      <c r="A75" s="15" t="s">
        <v>5</v>
      </c>
      <c r="B75" s="11">
        <v>32.714969407729313</v>
      </c>
      <c r="C75" s="11">
        <v>32.141223617484187</v>
      </c>
      <c r="D75" s="11">
        <v>29.113849831528359</v>
      </c>
      <c r="E75" s="11">
        <v>32.982938853020769</v>
      </c>
      <c r="F75" s="11">
        <v>31.548911626267319</v>
      </c>
      <c r="G75" s="11">
        <v>31.588610010117002</v>
      </c>
      <c r="H75" s="11">
        <v>28.911007052809349</v>
      </c>
    </row>
    <row r="76" spans="1:26" ht="15.75" customHeight="1">
      <c r="A76" s="15" t="s">
        <v>6</v>
      </c>
      <c r="B76" s="11">
        <v>32.590258689720727</v>
      </c>
      <c r="C76" s="11">
        <v>32.721273832371857</v>
      </c>
      <c r="D76" s="11">
        <v>30.16464123062795</v>
      </c>
      <c r="E76" s="11">
        <v>32.047254121947482</v>
      </c>
      <c r="F76" s="11">
        <v>29.543914135316761</v>
      </c>
      <c r="G76" s="11">
        <v>33.342806736117588</v>
      </c>
      <c r="H76" s="11">
        <v>32.189509605009498</v>
      </c>
    </row>
    <row r="77" spans="1:26" ht="15.75" customHeight="1">
      <c r="A77" s="15" t="s">
        <v>7</v>
      </c>
      <c r="B77" s="11">
        <v>43.900711289760828</v>
      </c>
      <c r="C77" s="11">
        <v>44.216304371559048</v>
      </c>
      <c r="D77" s="11">
        <v>39.992406220320888</v>
      </c>
      <c r="E77" s="11">
        <v>41.188516098247312</v>
      </c>
      <c r="F77" s="11">
        <v>41.174664935311547</v>
      </c>
      <c r="G77" s="11" t="s">
        <v>29</v>
      </c>
      <c r="H77" s="11" t="s">
        <v>29</v>
      </c>
    </row>
    <row r="78" spans="1:26" ht="15.75" customHeight="1">
      <c r="A78" s="15" t="s">
        <v>8</v>
      </c>
      <c r="B78" s="11">
        <v>35.355520134779042</v>
      </c>
      <c r="C78" s="11">
        <v>34.871271634463078</v>
      </c>
      <c r="D78" s="11">
        <v>32.438972932210191</v>
      </c>
      <c r="E78" s="11">
        <v>34.659304916901057</v>
      </c>
      <c r="F78" s="11">
        <v>29.802510355759502</v>
      </c>
      <c r="G78" s="11">
        <v>34.089275000485003</v>
      </c>
      <c r="H78" s="11">
        <v>34.365385390650367</v>
      </c>
    </row>
    <row r="79" spans="1:26" ht="15.75" customHeight="1">
      <c r="A79" s="15" t="s">
        <v>10</v>
      </c>
      <c r="B79" s="11">
        <v>37.457989093822327</v>
      </c>
      <c r="C79" s="11">
        <v>38.108548236086698</v>
      </c>
      <c r="D79" s="11">
        <v>33.593226988509016</v>
      </c>
      <c r="E79" s="11">
        <v>36.067750308172371</v>
      </c>
      <c r="F79" s="11">
        <v>35.012318359049956</v>
      </c>
      <c r="G79" s="11">
        <v>34.596988577247068</v>
      </c>
      <c r="H79" s="11">
        <v>33.131419993449782</v>
      </c>
    </row>
    <row r="80" spans="1:26" ht="15.75" customHeight="1"/>
    <row r="81" spans="1:26" ht="15.75" customHeight="1">
      <c r="A81" s="15" t="s">
        <v>39</v>
      </c>
    </row>
    <row r="82" spans="1:26" s="18" customFormat="1" ht="15.75" customHeight="1">
      <c r="A82" s="17" t="s">
        <v>1</v>
      </c>
      <c r="B82" s="17" t="s">
        <v>28</v>
      </c>
      <c r="C82" s="17" t="s">
        <v>17</v>
      </c>
      <c r="D82" s="17" t="s">
        <v>18</v>
      </c>
      <c r="E82" s="17" t="s">
        <v>19</v>
      </c>
      <c r="F82" s="17" t="s">
        <v>20</v>
      </c>
      <c r="G82" s="17" t="s">
        <v>21</v>
      </c>
      <c r="H82" s="17" t="s">
        <v>22</v>
      </c>
      <c r="I82" s="17"/>
      <c r="J82" s="17"/>
      <c r="K82" s="17"/>
      <c r="L82" s="17"/>
      <c r="M82" s="17"/>
      <c r="N82" s="17"/>
      <c r="O82" s="17"/>
      <c r="P82" s="17"/>
      <c r="Q82" s="17"/>
      <c r="R82" s="17"/>
      <c r="S82" s="17"/>
      <c r="T82" s="17"/>
      <c r="U82" s="17"/>
      <c r="V82" s="17"/>
      <c r="W82" s="17"/>
      <c r="X82" s="17"/>
      <c r="Y82" s="17"/>
      <c r="Z82" s="17"/>
    </row>
    <row r="83" spans="1:26" ht="15.75" customHeight="1">
      <c r="A83" s="15" t="s">
        <v>5</v>
      </c>
      <c r="B83" s="11">
        <v>98.788656675229078</v>
      </c>
      <c r="C83" s="11">
        <v>98.910478827965377</v>
      </c>
      <c r="D83" s="11">
        <v>98.040988847619829</v>
      </c>
      <c r="E83" s="11">
        <v>99.557693877666509</v>
      </c>
      <c r="F83" s="11">
        <v>98.153022896038948</v>
      </c>
      <c r="G83" s="11">
        <v>99.032247570778992</v>
      </c>
      <c r="H83" s="11">
        <v>94.807588797489828</v>
      </c>
    </row>
    <row r="84" spans="1:26" ht="15.75" customHeight="1">
      <c r="A84" s="15" t="s">
        <v>6</v>
      </c>
      <c r="B84" s="11">
        <v>97.502614654156687</v>
      </c>
      <c r="C84" s="11">
        <v>96.0926585731426</v>
      </c>
      <c r="D84" s="11">
        <v>95.131959868390567</v>
      </c>
      <c r="E84" s="11">
        <v>96.40076787593857</v>
      </c>
      <c r="F84" s="11">
        <v>96.202980702201458</v>
      </c>
      <c r="G84" s="11">
        <v>95.23161447542104</v>
      </c>
      <c r="H84" s="11">
        <v>96.956378403459837</v>
      </c>
    </row>
    <row r="85" spans="1:26" ht="15.75" customHeight="1">
      <c r="A85" s="15" t="s">
        <v>7</v>
      </c>
      <c r="B85" s="11">
        <v>98.854505575896312</v>
      </c>
      <c r="C85" s="11">
        <v>98.629531173465836</v>
      </c>
      <c r="D85" s="11">
        <v>96.756304095946945</v>
      </c>
      <c r="E85" s="11">
        <v>97.73089572377846</v>
      </c>
      <c r="F85" s="11">
        <v>96.339586071601715</v>
      </c>
      <c r="G85" s="11" t="s">
        <v>29</v>
      </c>
      <c r="H85" s="11" t="s">
        <v>29</v>
      </c>
    </row>
    <row r="86" spans="1:26" ht="15.75" customHeight="1">
      <c r="A86" s="15" t="s">
        <v>8</v>
      </c>
      <c r="B86" s="11">
        <v>95.973445132550623</v>
      </c>
      <c r="C86" s="11">
        <v>92.610640247138534</v>
      </c>
      <c r="D86" s="11">
        <v>91.399260044080691</v>
      </c>
      <c r="E86" s="11">
        <v>92.068929934181853</v>
      </c>
      <c r="F86" s="11">
        <v>89.005419892755356</v>
      </c>
      <c r="G86" s="11">
        <v>94.250924238971493</v>
      </c>
      <c r="H86" s="11">
        <v>91.405085235321735</v>
      </c>
    </row>
    <row r="87" spans="1:26" ht="15.75" customHeight="1">
      <c r="A87" s="15" t="s">
        <v>10</v>
      </c>
      <c r="B87" s="11">
        <v>98.168181930904424</v>
      </c>
      <c r="C87" s="11">
        <v>97.613313097116631</v>
      </c>
      <c r="D87" s="11">
        <v>96.178718453813488</v>
      </c>
      <c r="E87" s="11">
        <v>97.517698346823678</v>
      </c>
      <c r="F87" s="11">
        <v>96.184862499608514</v>
      </c>
      <c r="G87" s="11">
        <v>96.624737070188274</v>
      </c>
      <c r="H87" s="11">
        <v>96.15731576444891</v>
      </c>
    </row>
    <row r="88" spans="1:26" ht="15.75" customHeight="1"/>
    <row r="89" spans="1:26" ht="15.75" customHeight="1">
      <c r="A89" s="15" t="s">
        <v>40</v>
      </c>
    </row>
    <row r="90" spans="1:26" s="18" customFormat="1" ht="15.75" customHeight="1">
      <c r="A90" s="17" t="s">
        <v>1</v>
      </c>
      <c r="B90" s="17" t="s">
        <v>28</v>
      </c>
      <c r="C90" s="17" t="s">
        <v>17</v>
      </c>
      <c r="D90" s="17" t="s">
        <v>18</v>
      </c>
      <c r="E90" s="17" t="s">
        <v>19</v>
      </c>
      <c r="F90" s="17" t="s">
        <v>20</v>
      </c>
      <c r="G90" s="17" t="s">
        <v>21</v>
      </c>
      <c r="H90" s="17" t="s">
        <v>22</v>
      </c>
      <c r="I90" s="17"/>
      <c r="J90" s="17"/>
      <c r="K90" s="17"/>
      <c r="L90" s="17"/>
      <c r="M90" s="17"/>
      <c r="N90" s="17"/>
      <c r="O90" s="17"/>
      <c r="P90" s="17"/>
      <c r="Q90" s="17"/>
      <c r="R90" s="17"/>
      <c r="S90" s="17"/>
      <c r="T90" s="17"/>
      <c r="U90" s="17"/>
      <c r="V90" s="17"/>
      <c r="W90" s="17"/>
      <c r="X90" s="17"/>
      <c r="Y90" s="17"/>
      <c r="Z90" s="17"/>
    </row>
    <row r="91" spans="1:26" ht="15.75" customHeight="1">
      <c r="A91" s="15" t="s">
        <v>5</v>
      </c>
      <c r="B91" s="11">
        <v>84.018756544470207</v>
      </c>
      <c r="C91" s="11">
        <v>89.089052395824723</v>
      </c>
      <c r="D91" s="11">
        <v>96.566461580780157</v>
      </c>
      <c r="E91" s="11">
        <v>95.310230658193973</v>
      </c>
      <c r="F91" s="11">
        <v>93.322652701418519</v>
      </c>
      <c r="G91" s="11">
        <v>92.78454379315906</v>
      </c>
      <c r="H91" s="11">
        <v>97.473161438441196</v>
      </c>
    </row>
    <row r="92" spans="1:26" ht="15.75" customHeight="1">
      <c r="A92" s="15" t="s">
        <v>6</v>
      </c>
      <c r="B92" s="11">
        <v>79.007514602171995</v>
      </c>
      <c r="C92" s="11">
        <v>82.73692116212186</v>
      </c>
      <c r="D92" s="11">
        <v>92.513503874010283</v>
      </c>
      <c r="E92" s="11">
        <v>95.480735618596086</v>
      </c>
      <c r="F92" s="11">
        <v>95.851496945330339</v>
      </c>
      <c r="G92" s="11">
        <v>90.37283918236956</v>
      </c>
      <c r="H92" s="11">
        <v>91.736001585630717</v>
      </c>
    </row>
    <row r="93" spans="1:26" ht="15.75" customHeight="1">
      <c r="A93" s="15" t="s">
        <v>7</v>
      </c>
      <c r="B93" s="11">
        <v>53.367241227048957</v>
      </c>
      <c r="C93" s="11">
        <v>51.440646088162929</v>
      </c>
      <c r="D93" s="11">
        <v>72.733568806503712</v>
      </c>
      <c r="E93" s="11">
        <v>77.951707241357042</v>
      </c>
      <c r="F93" s="11">
        <v>72.077501040542913</v>
      </c>
      <c r="G93" s="11" t="s">
        <v>29</v>
      </c>
      <c r="H93" s="11" t="s">
        <v>29</v>
      </c>
    </row>
    <row r="94" spans="1:26" ht="15.75" customHeight="1">
      <c r="A94" s="15" t="s">
        <v>8</v>
      </c>
      <c r="B94" s="11">
        <v>84.92642621049113</v>
      </c>
      <c r="C94" s="11">
        <v>86.113518814764291</v>
      </c>
      <c r="D94" s="11">
        <v>96.144059628383474</v>
      </c>
      <c r="E94" s="11">
        <v>92.240329985934181</v>
      </c>
      <c r="F94" s="11">
        <v>96.301329686370792</v>
      </c>
      <c r="G94" s="11">
        <v>93.667686936603317</v>
      </c>
      <c r="H94" s="11">
        <v>90.996817850581081</v>
      </c>
    </row>
    <row r="95" spans="1:26" ht="15.75" customHeight="1">
      <c r="A95" s="15" t="s">
        <v>10</v>
      </c>
      <c r="B95" s="11">
        <v>71.345370008652907</v>
      </c>
      <c r="C95" s="11">
        <v>70.440774007983066</v>
      </c>
      <c r="D95" s="11">
        <v>87.610368459186631</v>
      </c>
      <c r="E95" s="11">
        <v>88.525367263489088</v>
      </c>
      <c r="F95" s="11">
        <v>85.386777224289489</v>
      </c>
      <c r="G95" s="11">
        <v>91.076421572637102</v>
      </c>
      <c r="H95" s="11">
        <v>93.020433365830357</v>
      </c>
    </row>
    <row r="96" spans="1: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0"/>
  <sheetViews>
    <sheetView tabSelected="1"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41</v>
      </c>
      <c r="G1" s="15" t="s">
        <v>42</v>
      </c>
      <c r="P1" s="15" t="s">
        <v>43</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33.442382090984538</v>
      </c>
      <c r="C3" s="11">
        <v>16.29952058366635</v>
      </c>
      <c r="D3" s="11">
        <v>-17.142861507318184</v>
      </c>
      <c r="E3" s="12" t="str">
        <f t="shared" ref="E3:E4" si="0">IF(       0&lt;0.01,"***",IF(       0&lt;0.05,"**",IF(       0&lt;0.1,"*","NS")))</f>
        <v>***</v>
      </c>
      <c r="G3" s="15" t="s">
        <v>5</v>
      </c>
      <c r="H3" s="11">
        <v>33.442382090984538</v>
      </c>
      <c r="I3" s="11">
        <v>16.938851837890731</v>
      </c>
      <c r="J3" s="11">
        <v>-16.503530253094734</v>
      </c>
      <c r="K3" s="12" t="str">
        <f>IF(       0&lt;0.01,"***",IF(       0&lt;0.05,"**",IF(       0&lt;0.1,"*","NS")))</f>
        <v>***</v>
      </c>
      <c r="L3" s="11">
        <v>15.33248444763305</v>
      </c>
      <c r="M3" s="11">
        <v>-18.109897643351811</v>
      </c>
      <c r="N3" s="12" t="str">
        <f t="shared" ref="N3:N7" si="1">IF(       0&lt;0.01,"***",IF(       0&lt;0.05,"**",IF(       0&lt;0.1,"*","NS")))</f>
        <v>***</v>
      </c>
      <c r="P3" s="15" t="s">
        <v>5</v>
      </c>
      <c r="Q3" s="11">
        <v>31.931311532255531</v>
      </c>
      <c r="R3" s="11">
        <v>15.33248444763305</v>
      </c>
      <c r="S3" s="11">
        <v>-16.598827084621156</v>
      </c>
      <c r="T3" s="12" t="str">
        <f t="shared" ref="T3:T7" si="2">IF(       0&lt;0.01,"***",IF(       0&lt;0.05,"**",IF(       0&lt;0.1,"*","NS")))</f>
        <v>***</v>
      </c>
    </row>
    <row r="4" spans="1:20">
      <c r="A4" s="15" t="s">
        <v>6</v>
      </c>
      <c r="B4" s="11">
        <v>40.488143967800411</v>
      </c>
      <c r="C4" s="11">
        <v>22.69465251788041</v>
      </c>
      <c r="D4" s="11">
        <v>-17.79349144991988</v>
      </c>
      <c r="E4" s="12" t="str">
        <f t="shared" si="0"/>
        <v>***</v>
      </c>
      <c r="G4" s="15" t="s">
        <v>6</v>
      </c>
      <c r="H4" s="11">
        <v>40.488143967800411</v>
      </c>
      <c r="I4" s="11">
        <v>26.40645265848206</v>
      </c>
      <c r="J4" s="11">
        <v>-14.08169130931784</v>
      </c>
      <c r="K4" s="12" t="str">
        <f>IF(       0.003&lt;0.01,"***",IF(       0.003&lt;0.05,"**",IF(       0.003&lt;0.1,"*","NS")))</f>
        <v>***</v>
      </c>
      <c r="L4" s="11">
        <v>13.22656591684138</v>
      </c>
      <c r="M4" s="11">
        <v>-27.261578050959052</v>
      </c>
      <c r="N4" s="12" t="str">
        <f t="shared" si="1"/>
        <v>***</v>
      </c>
      <c r="P4" s="15" t="s">
        <v>6</v>
      </c>
      <c r="Q4" s="11">
        <v>39.163223358299497</v>
      </c>
      <c r="R4" s="11">
        <v>13.22656591684138</v>
      </c>
      <c r="S4" s="11">
        <v>-25.93665744145807</v>
      </c>
      <c r="T4" s="12" t="str">
        <f t="shared" si="2"/>
        <v>***</v>
      </c>
    </row>
    <row r="5" spans="1:20">
      <c r="A5" s="15" t="s">
        <v>7</v>
      </c>
      <c r="B5" s="11">
        <v>67.453258661999698</v>
      </c>
      <c r="C5" s="11">
        <v>57.795113108254093</v>
      </c>
      <c r="D5" s="11">
        <v>-9.6581455537457135</v>
      </c>
      <c r="E5" s="12" t="str">
        <f>IF(       0.004&lt;0.01,"***",IF(       0.004&lt;0.05,"**",IF(       0.004&lt;0.1,"*","NS")))</f>
        <v>***</v>
      </c>
      <c r="G5" s="15" t="s">
        <v>7</v>
      </c>
      <c r="H5" s="11">
        <v>67.453258661999698</v>
      </c>
      <c r="I5" s="11">
        <v>64.339989609986162</v>
      </c>
      <c r="J5" s="11">
        <v>-3.1132690520135449</v>
      </c>
      <c r="K5" s="12" t="str">
        <f>IF(       0.345&lt;0.01,"***",IF(       0.345&lt;0.05,"**",IF(       0.345&lt;0.1,"*","NS")))</f>
        <v>NS</v>
      </c>
      <c r="L5" s="11">
        <v>42.833318675190348</v>
      </c>
      <c r="M5" s="11">
        <v>-24.619939986809598</v>
      </c>
      <c r="N5" s="12" t="str">
        <f t="shared" si="1"/>
        <v>***</v>
      </c>
      <c r="P5" s="15" t="s">
        <v>7</v>
      </c>
      <c r="Q5" s="11">
        <v>67.087954117076578</v>
      </c>
      <c r="R5" s="11">
        <v>42.833318675190348</v>
      </c>
      <c r="S5" s="11">
        <v>-24.254635441884986</v>
      </c>
      <c r="T5" s="12" t="str">
        <f t="shared" si="2"/>
        <v>***</v>
      </c>
    </row>
    <row r="6" spans="1:20">
      <c r="A6" s="15" t="s">
        <v>8</v>
      </c>
      <c r="B6" s="11">
        <v>49.924071785383092</v>
      </c>
      <c r="C6" s="11">
        <v>31.357284065514111</v>
      </c>
      <c r="D6" s="11">
        <v>-18.566787719867985</v>
      </c>
      <c r="E6" s="12" t="str">
        <f t="shared" ref="E6:E7" si="3">IF(       0&lt;0.01,"***",IF(       0&lt;0.05,"**",IF(       0&lt;0.1,"*","NS")))</f>
        <v>***</v>
      </c>
      <c r="G6" s="15" t="s">
        <v>8</v>
      </c>
      <c r="H6" s="11">
        <v>49.924071785383092</v>
      </c>
      <c r="I6" s="11">
        <v>34.360927484413033</v>
      </c>
      <c r="J6" s="11">
        <v>-15.563144300970224</v>
      </c>
      <c r="K6" s="12" t="str">
        <f>IF(       0&lt;0.01,"***",IF(       0&lt;0.05,"**",IF(       0&lt;0.1,"*","NS")))</f>
        <v>***</v>
      </c>
      <c r="L6" s="11">
        <v>24.204468840455789</v>
      </c>
      <c r="M6" s="11">
        <v>-25.719602944927335</v>
      </c>
      <c r="N6" s="12" t="str">
        <f t="shared" si="1"/>
        <v>***</v>
      </c>
      <c r="P6" s="15" t="s">
        <v>8</v>
      </c>
      <c r="Q6" s="11">
        <v>48.510606448225737</v>
      </c>
      <c r="R6" s="11">
        <v>24.204468840455789</v>
      </c>
      <c r="S6" s="11">
        <v>-24.30613760777026</v>
      </c>
      <c r="T6" s="12" t="str">
        <f t="shared" si="2"/>
        <v>***</v>
      </c>
    </row>
    <row r="7" spans="1:20">
      <c r="A7" s="15" t="s">
        <v>10</v>
      </c>
      <c r="B7" s="11">
        <v>50.410984461171267</v>
      </c>
      <c r="C7" s="11">
        <v>37.467072529214427</v>
      </c>
      <c r="D7" s="11">
        <v>-12.943911931956142</v>
      </c>
      <c r="E7" s="12" t="str">
        <f t="shared" si="3"/>
        <v>***</v>
      </c>
      <c r="G7" s="15" t="s">
        <v>10</v>
      </c>
      <c r="H7" s="11">
        <v>50.410984461171267</v>
      </c>
      <c r="I7" s="11">
        <v>42.350484014316891</v>
      </c>
      <c r="J7" s="11">
        <v>-8.0605004468539185</v>
      </c>
      <c r="K7" s="12" t="str">
        <f>IF(       0.001&lt;0.01,"***",IF(       0.001&lt;0.05,"**",IF(       0.001&lt;0.1,"*","NS")))</f>
        <v>***</v>
      </c>
      <c r="L7" s="11">
        <v>27.40037992966792</v>
      </c>
      <c r="M7" s="11">
        <v>-23.010604531502771</v>
      </c>
      <c r="N7" s="12" t="str">
        <f t="shared" si="1"/>
        <v>***</v>
      </c>
      <c r="P7" s="15" t="s">
        <v>10</v>
      </c>
      <c r="Q7" s="11">
        <v>49.587958526301932</v>
      </c>
      <c r="R7" s="11">
        <v>27.40037992966792</v>
      </c>
      <c r="S7" s="11">
        <v>-22.187578596632591</v>
      </c>
      <c r="T7" s="12" t="str">
        <f t="shared" si="2"/>
        <v>***</v>
      </c>
    </row>
    <row r="9" spans="1:20">
      <c r="A9" s="15" t="s">
        <v>50</v>
      </c>
      <c r="G9" s="15" t="s">
        <v>51</v>
      </c>
      <c r="P9" s="15" t="s">
        <v>52</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29.983326391551351</v>
      </c>
      <c r="C11" s="11">
        <v>17.35280089623641</v>
      </c>
      <c r="D11" s="11">
        <v>-12.63052549531481</v>
      </c>
      <c r="E11" s="12" t="str">
        <f t="shared" ref="E11:E12" si="4">IF(       0&lt;0.01,"***",IF(       0&lt;0.05,"**",IF(       0&lt;0.1,"*","NS")))</f>
        <v>***</v>
      </c>
      <c r="G11" s="15" t="s">
        <v>5</v>
      </c>
      <c r="H11" s="11">
        <v>29.983326391551351</v>
      </c>
      <c r="I11" s="11">
        <v>18.043077468653671</v>
      </c>
      <c r="J11" s="11">
        <v>-11.940248922897878</v>
      </c>
      <c r="K11" s="12" t="str">
        <f>IF(       0&lt;0.01,"***",IF(       0&lt;0.05,"**",IF(       0&lt;0.1,"*","NS")))</f>
        <v>***</v>
      </c>
      <c r="L11" s="11">
        <v>16.28950320982673</v>
      </c>
      <c r="M11" s="11">
        <v>-13.69382318172458</v>
      </c>
      <c r="N11" s="12" t="str">
        <f t="shared" ref="N11:N12" si="5">IF(       0&lt;0.01,"***",IF(       0&lt;0.05,"**",IF(       0&lt;0.1,"*","NS")))</f>
        <v>***</v>
      </c>
      <c r="P11" s="15" t="s">
        <v>5</v>
      </c>
      <c r="Q11" s="11">
        <v>28.902370383537232</v>
      </c>
      <c r="R11" s="11">
        <v>16.28950320982673</v>
      </c>
      <c r="S11" s="11">
        <v>-12.612867173710857</v>
      </c>
      <c r="T11" s="12" t="str">
        <f t="shared" ref="T11:T12" si="6">IF(       0&lt;0.01,"***",IF(       0&lt;0.05,"**",IF(       0&lt;0.1,"*","NS")))</f>
        <v>***</v>
      </c>
    </row>
    <row r="12" spans="1:20">
      <c r="A12" s="15" t="s">
        <v>6</v>
      </c>
      <c r="B12" s="11">
        <v>37.374544521509833</v>
      </c>
      <c r="C12" s="11">
        <v>21.244477511197289</v>
      </c>
      <c r="D12" s="11">
        <v>-16.130067010312708</v>
      </c>
      <c r="E12" s="12" t="str">
        <f t="shared" si="4"/>
        <v>***</v>
      </c>
      <c r="G12" s="15" t="s">
        <v>6</v>
      </c>
      <c r="H12" s="11">
        <v>37.374544521509833</v>
      </c>
      <c r="I12" s="11">
        <v>25.47273669518243</v>
      </c>
      <c r="J12" s="11">
        <v>-11.90180782632746</v>
      </c>
      <c r="K12" s="12" t="str">
        <f>IF(       0.033&lt;0.01,"***",IF(       0.033&lt;0.05,"**",IF(       0.033&lt;0.1,"*","NS")))</f>
        <v>**</v>
      </c>
      <c r="L12" s="11">
        <v>9.6713499367693085</v>
      </c>
      <c r="M12" s="11">
        <v>-27.703194584740267</v>
      </c>
      <c r="N12" s="12" t="str">
        <f t="shared" si="5"/>
        <v>***</v>
      </c>
      <c r="P12" s="15" t="s">
        <v>6</v>
      </c>
      <c r="Q12" s="11">
        <v>36.296890053054639</v>
      </c>
      <c r="R12" s="11">
        <v>9.6713499367693085</v>
      </c>
      <c r="S12" s="11">
        <v>-26.625540116285372</v>
      </c>
      <c r="T12" s="12" t="str">
        <f t="shared" si="6"/>
        <v>***</v>
      </c>
    </row>
    <row r="13" spans="1:20">
      <c r="A13" s="15" t="s">
        <v>7</v>
      </c>
      <c r="B13" s="11">
        <v>64.180297849226406</v>
      </c>
      <c r="C13" s="11">
        <v>55.572833934535637</v>
      </c>
      <c r="D13" s="11">
        <v>-8.6074639146908627</v>
      </c>
      <c r="E13" s="12" t="str">
        <f>IF(       0.019&lt;0.01,"***",IF(       0.019&lt;0.05,"**",IF(       0.019&lt;0.1,"*","NS")))</f>
        <v>**</v>
      </c>
      <c r="G13" s="15" t="s">
        <v>7</v>
      </c>
      <c r="H13" s="11">
        <v>64.180297849226406</v>
      </c>
      <c r="I13" s="11">
        <v>59.593550096904863</v>
      </c>
      <c r="J13" s="11">
        <v>-4.5867477523215925</v>
      </c>
      <c r="K13" s="12" t="str">
        <f>IF(       0.19&lt;0.01,"***",IF(       0.19&lt;0.05,"**",IF(       0.19&lt;0.1,"*","NS")))</f>
        <v>NS</v>
      </c>
      <c r="L13" s="11">
        <v>45.327184748404633</v>
      </c>
      <c r="M13" s="11">
        <v>-18.853113100821645</v>
      </c>
      <c r="N13" s="12" t="str">
        <f>IF(       0.002&lt;0.01,"***",IF(       0.002&lt;0.05,"**",IF(       0.002&lt;0.1,"*","NS")))</f>
        <v>***</v>
      </c>
      <c r="P13" s="15" t="s">
        <v>7</v>
      </c>
      <c r="Q13" s="11">
        <v>63.547434886400453</v>
      </c>
      <c r="R13" s="11">
        <v>45.327184748404633</v>
      </c>
      <c r="S13" s="11">
        <v>-18.220250137995873</v>
      </c>
      <c r="T13" s="12" t="str">
        <f>IF(       0.002&lt;0.01,"***",IF(       0.002&lt;0.05,"**",IF(       0.002&lt;0.1,"*","NS")))</f>
        <v>***</v>
      </c>
    </row>
    <row r="14" spans="1:20">
      <c r="A14" s="15" t="s">
        <v>8</v>
      </c>
      <c r="B14" s="11">
        <v>41.198414566605059</v>
      </c>
      <c r="C14" s="11">
        <v>25.108384658470239</v>
      </c>
      <c r="D14" s="11">
        <v>-16.090029908135012</v>
      </c>
      <c r="E14" s="12" t="str">
        <f t="shared" ref="E14:E15" si="7">IF(       0&lt;0.01,"***",IF(       0&lt;0.05,"**",IF(       0&lt;0.1,"*","NS")))</f>
        <v>***</v>
      </c>
      <c r="G14" s="15" t="s">
        <v>8</v>
      </c>
      <c r="H14" s="11">
        <v>41.198414566605059</v>
      </c>
      <c r="I14" s="11">
        <v>28.655413801862991</v>
      </c>
      <c r="J14" s="11">
        <v>-12.543000764742061</v>
      </c>
      <c r="K14" s="12" t="str">
        <f>IF(       0.001&lt;0.01,"***",IF(       0.001&lt;0.05,"**",IF(       0.001&lt;0.1,"*","NS")))</f>
        <v>***</v>
      </c>
      <c r="L14" s="11">
        <v>16.145335191590458</v>
      </c>
      <c r="M14" s="11">
        <v>-25.05307937501501</v>
      </c>
      <c r="N14" s="12" t="str">
        <f t="shared" ref="N14:N15" si="8">IF(       0&lt;0.01,"***",IF(       0&lt;0.05,"**",IF(       0&lt;0.1,"*","NS")))</f>
        <v>***</v>
      </c>
      <c r="P14" s="15" t="s">
        <v>8</v>
      </c>
      <c r="Q14" s="11">
        <v>40.064677798086898</v>
      </c>
      <c r="R14" s="11">
        <v>16.145335191590458</v>
      </c>
      <c r="S14" s="11">
        <v>-23.919342606496254</v>
      </c>
      <c r="T14" s="12" t="str">
        <f t="shared" ref="T14:T15" si="9">IF(       0&lt;0.01,"***",IF(       0&lt;0.05,"**",IF(       0&lt;0.1,"*","NS")))</f>
        <v>***</v>
      </c>
    </row>
    <row r="15" spans="1:20">
      <c r="A15" s="15" t="s">
        <v>10</v>
      </c>
      <c r="B15" s="11">
        <v>45.7019459343093</v>
      </c>
      <c r="C15" s="11">
        <v>36.711887925765467</v>
      </c>
      <c r="D15" s="11">
        <v>-8.9900580085437678</v>
      </c>
      <c r="E15" s="12" t="str">
        <f t="shared" si="7"/>
        <v>***</v>
      </c>
      <c r="G15" s="15" t="s">
        <v>10</v>
      </c>
      <c r="H15" s="11">
        <v>45.7019459343093</v>
      </c>
      <c r="I15" s="11">
        <v>40.726163779959187</v>
      </c>
      <c r="J15" s="11">
        <v>-4.9757821543501084</v>
      </c>
      <c r="K15" s="12" t="str">
        <f>IF(       0.039&lt;0.01,"***",IF(       0.039&lt;0.05,"**",IF(       0.039&lt;0.1,"*","NS")))</f>
        <v>**</v>
      </c>
      <c r="L15" s="11">
        <v>27.844766446914988</v>
      </c>
      <c r="M15" s="11">
        <v>-17.857179487394422</v>
      </c>
      <c r="N15" s="12" t="str">
        <f t="shared" si="8"/>
        <v>***</v>
      </c>
      <c r="P15" s="15" t="s">
        <v>10</v>
      </c>
      <c r="Q15" s="11">
        <v>45.160271840103952</v>
      </c>
      <c r="R15" s="11">
        <v>27.844766446914988</v>
      </c>
      <c r="S15" s="11">
        <v>-17.315505393188662</v>
      </c>
      <c r="T15" s="12" t="str">
        <f t="shared" si="9"/>
        <v>***</v>
      </c>
    </row>
    <row r="17" spans="1:20">
      <c r="A17" s="15" t="s">
        <v>53</v>
      </c>
      <c r="G17" s="15" t="s">
        <v>54</v>
      </c>
      <c r="P17" s="15" t="s">
        <v>55</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38.582913631600178</v>
      </c>
      <c r="C19" s="11">
        <v>14.807861304049441</v>
      </c>
      <c r="D19" s="11">
        <v>-23.775052327550561</v>
      </c>
      <c r="E19" s="12" t="str">
        <f t="shared" ref="E19:E20" si="10">IF(       0&lt;0.01,"***",IF(       0&lt;0.05,"**",IF(       0&lt;0.1,"*","NS")))</f>
        <v>***</v>
      </c>
      <c r="G19" s="15" t="s">
        <v>5</v>
      </c>
      <c r="H19" s="11">
        <v>38.582913631600178</v>
      </c>
      <c r="I19" s="11">
        <v>15.34740475915183</v>
      </c>
      <c r="J19" s="11">
        <v>-23.23550887244831</v>
      </c>
      <c r="K19" s="12" t="str">
        <f t="shared" ref="K19:K20" si="11">IF(       0&lt;0.01,"***",IF(       0&lt;0.05,"**",IF(       0&lt;0.1,"*","NS")))</f>
        <v>***</v>
      </c>
      <c r="L19" s="11">
        <v>14.01246456324572</v>
      </c>
      <c r="M19" s="11">
        <v>-24.570449068354336</v>
      </c>
      <c r="N19" s="12" t="str">
        <f t="shared" ref="N19:N23" si="12">IF(       0&lt;0.01,"***",IF(       0&lt;0.05,"**",IF(       0&lt;0.1,"*","NS")))</f>
        <v>***</v>
      </c>
      <c r="P19" s="15" t="s">
        <v>5</v>
      </c>
      <c r="Q19" s="11">
        <v>36.419993610646323</v>
      </c>
      <c r="R19" s="11">
        <v>14.01246456324572</v>
      </c>
      <c r="S19" s="11">
        <v>-22.407529047401056</v>
      </c>
      <c r="T19" s="12" t="str">
        <f t="shared" ref="T19:T23" si="13">IF(       0&lt;0.01,"***",IF(       0&lt;0.05,"**",IF(       0&lt;0.1,"*","NS")))</f>
        <v>***</v>
      </c>
    </row>
    <row r="20" spans="1:20">
      <c r="A20" s="15" t="s">
        <v>6</v>
      </c>
      <c r="B20" s="11">
        <v>44.868409463554443</v>
      </c>
      <c r="C20" s="11">
        <v>24.4640398006234</v>
      </c>
      <c r="D20" s="11">
        <v>-20.404369662931085</v>
      </c>
      <c r="E20" s="12" t="str">
        <f t="shared" si="10"/>
        <v>***</v>
      </c>
      <c r="G20" s="15" t="s">
        <v>6</v>
      </c>
      <c r="H20" s="11">
        <v>44.868409463554443</v>
      </c>
      <c r="I20" s="11">
        <v>27.59633135025879</v>
      </c>
      <c r="J20" s="11">
        <v>-17.272078113295802</v>
      </c>
      <c r="K20" s="12" t="str">
        <f t="shared" si="11"/>
        <v>***</v>
      </c>
      <c r="L20" s="11">
        <v>17.111829546165509</v>
      </c>
      <c r="M20" s="11">
        <v>-27.756579917388805</v>
      </c>
      <c r="N20" s="12" t="str">
        <f t="shared" si="12"/>
        <v>***</v>
      </c>
      <c r="P20" s="15" t="s">
        <v>6</v>
      </c>
      <c r="Q20" s="11">
        <v>43.158030302471758</v>
      </c>
      <c r="R20" s="11">
        <v>17.111829546165509</v>
      </c>
      <c r="S20" s="11">
        <v>-26.046200756305932</v>
      </c>
      <c r="T20" s="12" t="str">
        <f t="shared" si="13"/>
        <v>***</v>
      </c>
    </row>
    <row r="21" spans="1:20" ht="15.75" customHeight="1">
      <c r="A21" s="15" t="s">
        <v>7</v>
      </c>
      <c r="B21" s="11">
        <v>71.313577622763731</v>
      </c>
      <c r="C21" s="11">
        <v>61.598370671584121</v>
      </c>
      <c r="D21" s="11">
        <v>-9.7152069511797148</v>
      </c>
      <c r="E21" s="12" t="str">
        <f>IF(       0.027&lt;0.01,"***",IF(       0.027&lt;0.05,"**",IF(       0.027&lt;0.1,"*","NS")))</f>
        <v>**</v>
      </c>
      <c r="G21" s="15" t="s">
        <v>7</v>
      </c>
      <c r="H21" s="11">
        <v>71.313577622763731</v>
      </c>
      <c r="I21" s="11">
        <v>73.216766286902001</v>
      </c>
      <c r="J21" s="11">
        <v>1.9031886641382612</v>
      </c>
      <c r="K21" s="12" t="str">
        <f>IF(       0.65&lt;0.01,"***",IF(       0.65&lt;0.05,"**",IF(       0.65&lt;0.1,"*","NS")))</f>
        <v>NS</v>
      </c>
      <c r="L21" s="11">
        <v>39.324375211261582</v>
      </c>
      <c r="M21" s="11">
        <v>-31.989202411502365</v>
      </c>
      <c r="N21" s="12" t="str">
        <f t="shared" si="12"/>
        <v>***</v>
      </c>
      <c r="P21" s="15" t="s">
        <v>7</v>
      </c>
      <c r="Q21" s="11">
        <v>71.488078375930741</v>
      </c>
      <c r="R21" s="11">
        <v>39.324375211261582</v>
      </c>
      <c r="S21" s="11">
        <v>-32.163703164669194</v>
      </c>
      <c r="T21" s="12" t="str">
        <f t="shared" si="13"/>
        <v>***</v>
      </c>
    </row>
    <row r="22" spans="1:20" ht="15.75" customHeight="1">
      <c r="A22" s="15" t="s">
        <v>8</v>
      </c>
      <c r="B22" s="11">
        <v>60.074447284663798</v>
      </c>
      <c r="C22" s="11">
        <v>38.286350930976177</v>
      </c>
      <c r="D22" s="11">
        <v>-21.788096353687518</v>
      </c>
      <c r="E22" s="12" t="str">
        <f t="shared" ref="E22:E23" si="14">IF(       0&lt;0.01,"***",IF(       0&lt;0.05,"**",IF(       0&lt;0.1,"*","NS")))</f>
        <v>***</v>
      </c>
      <c r="G22" s="15" t="s">
        <v>8</v>
      </c>
      <c r="H22" s="11">
        <v>60.074447284663798</v>
      </c>
      <c r="I22" s="11">
        <v>40.923178890205001</v>
      </c>
      <c r="J22" s="11">
        <v>-19.151268394458974</v>
      </c>
      <c r="K22" s="12" t="str">
        <f t="shared" ref="K22:K23" si="15">IF(       0&lt;0.01,"***",IF(       0&lt;0.05,"**",IF(       0&lt;0.1,"*","NS")))</f>
        <v>***</v>
      </c>
      <c r="L22" s="11">
        <v>32.397181229226398</v>
      </c>
      <c r="M22" s="11">
        <v>-27.677266055437027</v>
      </c>
      <c r="N22" s="12" t="str">
        <f t="shared" si="12"/>
        <v>***</v>
      </c>
      <c r="P22" s="15" t="s">
        <v>8</v>
      </c>
      <c r="Q22" s="11">
        <v>58.325460083279232</v>
      </c>
      <c r="R22" s="11">
        <v>32.397181229226398</v>
      </c>
      <c r="S22" s="11">
        <v>-25.92827885405384</v>
      </c>
      <c r="T22" s="12" t="str">
        <f t="shared" si="13"/>
        <v>***</v>
      </c>
    </row>
    <row r="23" spans="1:20" ht="15.75" customHeight="1">
      <c r="A23" s="15" t="s">
        <v>10</v>
      </c>
      <c r="B23" s="11">
        <v>56.51049985583024</v>
      </c>
      <c r="C23" s="11">
        <v>38.567386278581751</v>
      </c>
      <c r="D23" s="11">
        <v>-17.943113577248248</v>
      </c>
      <c r="E23" s="12" t="str">
        <f t="shared" si="14"/>
        <v>***</v>
      </c>
      <c r="G23" s="15" t="s">
        <v>10</v>
      </c>
      <c r="H23" s="11">
        <v>56.51049985583024</v>
      </c>
      <c r="I23" s="11">
        <v>44.851148144143473</v>
      </c>
      <c r="J23" s="11">
        <v>-11.659351711686849</v>
      </c>
      <c r="K23" s="12" t="str">
        <f t="shared" si="15"/>
        <v>***</v>
      </c>
      <c r="L23" s="11">
        <v>26.821434494000009</v>
      </c>
      <c r="M23" s="11">
        <v>-29.68906536183054</v>
      </c>
      <c r="N23" s="12" t="str">
        <f t="shared" si="12"/>
        <v>***</v>
      </c>
      <c r="P23" s="15" t="s">
        <v>10</v>
      </c>
      <c r="Q23" s="11">
        <v>55.423832915362723</v>
      </c>
      <c r="R23" s="11">
        <v>26.821434494000009</v>
      </c>
      <c r="S23" s="11">
        <v>-28.602398421364228</v>
      </c>
      <c r="T23" s="12" t="str">
        <f t="shared" si="13"/>
        <v>***</v>
      </c>
    </row>
    <row r="24" spans="1:20" ht="15.75" customHeight="1"/>
    <row r="25" spans="1:20" ht="15.75" customHeight="1">
      <c r="A25" s="15" t="s">
        <v>56</v>
      </c>
      <c r="G25" s="15" t="s">
        <v>57</v>
      </c>
      <c r="P25" s="15" t="s">
        <v>58</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27.957731827317481</v>
      </c>
      <c r="C27" s="11">
        <v>11.0386106165843</v>
      </c>
      <c r="D27" s="11">
        <v>-16.919121210732914</v>
      </c>
      <c r="E27" s="12" t="str">
        <f t="shared" ref="E27:E31" si="16">IF(       0&lt;0.01,"***",IF(       0&lt;0.05,"**",IF(       0&lt;0.1,"*","NS")))</f>
        <v>***</v>
      </c>
      <c r="G27" s="15" t="s">
        <v>5</v>
      </c>
      <c r="H27" s="11">
        <v>27.957731827317481</v>
      </c>
      <c r="I27" s="11">
        <v>11.06465161917661</v>
      </c>
      <c r="J27" s="11">
        <v>-16.893080208141203</v>
      </c>
      <c r="K27" s="12" t="str">
        <f>IF(       0&lt;0.01,"***",IF(       0&lt;0.05,"**",IF(       0&lt;0.1,"*","NS")))</f>
        <v>***</v>
      </c>
      <c r="L27" s="11">
        <v>11.000106850277691</v>
      </c>
      <c r="M27" s="11">
        <v>-16.957624977040457</v>
      </c>
      <c r="N27" s="12" t="str">
        <f t="shared" ref="N27:N31" si="17">IF(       0&lt;0.01,"***",IF(       0&lt;0.05,"**",IF(       0&lt;0.1,"*","NS")))</f>
        <v>***</v>
      </c>
      <c r="P27" s="15" t="s">
        <v>5</v>
      </c>
      <c r="Q27" s="11">
        <v>26.430252678155728</v>
      </c>
      <c r="R27" s="11">
        <v>11.000106850277691</v>
      </c>
      <c r="S27" s="11">
        <v>-15.430145827879112</v>
      </c>
      <c r="T27" s="12" t="str">
        <f t="shared" ref="T27:T31" si="18">IF(       0&lt;0.01,"***",IF(       0&lt;0.05,"**",IF(       0&lt;0.1,"*","NS")))</f>
        <v>***</v>
      </c>
    </row>
    <row r="28" spans="1:20" ht="15.75" customHeight="1">
      <c r="A28" s="15" t="s">
        <v>6</v>
      </c>
      <c r="B28" s="11">
        <v>31.521876579028401</v>
      </c>
      <c r="C28" s="11">
        <v>12.58234638927871</v>
      </c>
      <c r="D28" s="11">
        <v>-18.939530189749895</v>
      </c>
      <c r="E28" s="12" t="str">
        <f t="shared" si="16"/>
        <v>***</v>
      </c>
      <c r="G28" s="15" t="s">
        <v>6</v>
      </c>
      <c r="H28" s="11">
        <v>31.521876579028401</v>
      </c>
      <c r="I28" s="11">
        <v>14.209176975419849</v>
      </c>
      <c r="J28" s="11">
        <v>-17.312699603608809</v>
      </c>
      <c r="K28" s="12" t="str">
        <f t="shared" ref="K28:K29" si="19">IF(       0.001&lt;0.01,"***",IF(       0.001&lt;0.05,"**",IF(       0.001&lt;0.1,"*","NS")))</f>
        <v>***</v>
      </c>
      <c r="L28" s="11">
        <v>8.8879735710549479</v>
      </c>
      <c r="M28" s="11">
        <v>-22.633903007973633</v>
      </c>
      <c r="N28" s="12" t="str">
        <f t="shared" si="17"/>
        <v>***</v>
      </c>
      <c r="P28" s="15" t="s">
        <v>6</v>
      </c>
      <c r="Q28" s="11">
        <v>29.96158477606204</v>
      </c>
      <c r="R28" s="11">
        <v>8.8879735710549479</v>
      </c>
      <c r="S28" s="11">
        <v>-21.073611205006152</v>
      </c>
      <c r="T28" s="12" t="str">
        <f t="shared" si="18"/>
        <v>***</v>
      </c>
    </row>
    <row r="29" spans="1:20" ht="15.75" customHeight="1">
      <c r="A29" s="15" t="s">
        <v>7</v>
      </c>
      <c r="B29" s="11">
        <v>51.273272448711872</v>
      </c>
      <c r="C29" s="11">
        <v>24.704069483681831</v>
      </c>
      <c r="D29" s="11">
        <v>-26.569202965030012</v>
      </c>
      <c r="E29" s="12" t="str">
        <f t="shared" si="16"/>
        <v>***</v>
      </c>
      <c r="G29" s="15" t="s">
        <v>7</v>
      </c>
      <c r="H29" s="11">
        <v>51.273272448711872</v>
      </c>
      <c r="I29" s="11">
        <v>30.219745229118072</v>
      </c>
      <c r="J29" s="11">
        <v>-21.053527219593402</v>
      </c>
      <c r="K29" s="12" t="str">
        <f t="shared" si="19"/>
        <v>***</v>
      </c>
      <c r="L29" s="11">
        <v>14.3681686597153</v>
      </c>
      <c r="M29" s="11">
        <v>-36.90510378899679</v>
      </c>
      <c r="N29" s="12" t="str">
        <f t="shared" si="17"/>
        <v>***</v>
      </c>
      <c r="P29" s="15" t="s">
        <v>7</v>
      </c>
      <c r="Q29" s="11">
        <v>48.931649837756737</v>
      </c>
      <c r="R29" s="11">
        <v>14.3681686597153</v>
      </c>
      <c r="S29" s="11">
        <v>-34.563481178041741</v>
      </c>
      <c r="T29" s="12" t="str">
        <f t="shared" si="18"/>
        <v>***</v>
      </c>
    </row>
    <row r="30" spans="1:20" ht="15.75" customHeight="1">
      <c r="A30" s="15" t="s">
        <v>8</v>
      </c>
      <c r="B30" s="11">
        <v>43.056324140706323</v>
      </c>
      <c r="C30" s="11">
        <v>22.061026688474971</v>
      </c>
      <c r="D30" s="11">
        <v>-20.995297452231132</v>
      </c>
      <c r="E30" s="12" t="str">
        <f t="shared" si="16"/>
        <v>***</v>
      </c>
      <c r="G30" s="15" t="s">
        <v>8</v>
      </c>
      <c r="H30" s="11">
        <v>43.056324140706323</v>
      </c>
      <c r="I30" s="11">
        <v>25.95415977152394</v>
      </c>
      <c r="J30" s="11">
        <v>-17.102164369182628</v>
      </c>
      <c r="K30" s="12" t="str">
        <f t="shared" ref="K30:K31" si="20">IF(       0&lt;0.01,"***",IF(       0&lt;0.05,"**",IF(       0&lt;0.1,"*","NS")))</f>
        <v>***</v>
      </c>
      <c r="L30" s="11">
        <v>12.69041820648185</v>
      </c>
      <c r="M30" s="11">
        <v>-30.365905934224273</v>
      </c>
      <c r="N30" s="12" t="str">
        <f t="shared" si="17"/>
        <v>***</v>
      </c>
      <c r="P30" s="15" t="s">
        <v>8</v>
      </c>
      <c r="Q30" s="11">
        <v>41.474900674095387</v>
      </c>
      <c r="R30" s="11">
        <v>12.69041820648185</v>
      </c>
      <c r="S30" s="11">
        <v>-28.78448246761382</v>
      </c>
      <c r="T30" s="12" t="str">
        <f t="shared" si="18"/>
        <v>***</v>
      </c>
    </row>
    <row r="31" spans="1:20" ht="15.75" customHeight="1">
      <c r="A31" s="15" t="s">
        <v>10</v>
      </c>
      <c r="B31" s="11">
        <v>34.925855456087191</v>
      </c>
      <c r="C31" s="11">
        <v>15.542076378527231</v>
      </c>
      <c r="D31" s="11">
        <v>-19.383779077560074</v>
      </c>
      <c r="E31" s="12" t="str">
        <f t="shared" si="16"/>
        <v>***</v>
      </c>
      <c r="G31" s="15" t="s">
        <v>10</v>
      </c>
      <c r="H31" s="11">
        <v>34.925855456087191</v>
      </c>
      <c r="I31" s="11">
        <v>17.811639663939221</v>
      </c>
      <c r="J31" s="11">
        <v>-17.114215792147284</v>
      </c>
      <c r="K31" s="12" t="str">
        <f t="shared" si="20"/>
        <v>***</v>
      </c>
      <c r="L31" s="11">
        <v>11.418651054234161</v>
      </c>
      <c r="M31" s="11">
        <v>-23.507204401853205</v>
      </c>
      <c r="N31" s="12" t="str">
        <f t="shared" si="17"/>
        <v>***</v>
      </c>
      <c r="P31" s="15" t="s">
        <v>10</v>
      </c>
      <c r="Q31" s="11">
        <v>33.323548037877728</v>
      </c>
      <c r="R31" s="11">
        <v>11.418651054234161</v>
      </c>
      <c r="S31" s="11">
        <v>-21.904896983643567</v>
      </c>
      <c r="T31" s="12" t="str">
        <f t="shared" si="18"/>
        <v>***</v>
      </c>
    </row>
    <row r="32" spans="1:20" ht="15.75" customHeight="1"/>
    <row r="33" spans="1:20" ht="15.75" customHeight="1">
      <c r="A33" s="15" t="s">
        <v>59</v>
      </c>
      <c r="G33" s="15" t="s">
        <v>60</v>
      </c>
      <c r="P33" s="15" t="s">
        <v>61</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55.227626398339332</v>
      </c>
      <c r="C35" s="11">
        <v>36.720252938000151</v>
      </c>
      <c r="D35" s="11">
        <v>-18.507373460338954</v>
      </c>
      <c r="E35" s="12" t="str">
        <f>IF(       0.001&lt;0.01,"***",IF(       0.001&lt;0.05,"**",IF(       0.001&lt;0.1,"*","NS")))</f>
        <v>***</v>
      </c>
      <c r="G35" s="15" t="s">
        <v>5</v>
      </c>
      <c r="H35" s="11">
        <v>55.227626398339332</v>
      </c>
      <c r="I35" s="11">
        <v>38.765234892552328</v>
      </c>
      <c r="J35" s="11">
        <v>-16.462391505787526</v>
      </c>
      <c r="K35" s="12" t="str">
        <f>IF(       0.003&lt;0.01,"***",IF(       0.003&lt;0.05,"**",IF(       0.003&lt;0.1,"*","NS")))</f>
        <v>***</v>
      </c>
      <c r="L35" s="11">
        <v>33.338162979547988</v>
      </c>
      <c r="M35" s="11">
        <v>-21.889463418791202</v>
      </c>
      <c r="N35" s="12" t="str">
        <f>IF(       0.001&lt;0.01,"***",IF(       0.001&lt;0.05,"**",IF(       0.001&lt;0.1,"*","NS")))</f>
        <v>***</v>
      </c>
      <c r="P35" s="15" t="s">
        <v>5</v>
      </c>
      <c r="Q35" s="11">
        <v>53.646238448041139</v>
      </c>
      <c r="R35" s="11">
        <v>33.338162979547988</v>
      </c>
      <c r="S35" s="11">
        <v>-20.308075468493087</v>
      </c>
      <c r="T35" s="12" t="str">
        <f>IF(       0.001&lt;0.01,"***",IF(       0.001&lt;0.05,"**",IF(       0.001&lt;0.1,"*","NS")))</f>
        <v>***</v>
      </c>
    </row>
    <row r="36" spans="1:20" ht="15.75" customHeight="1">
      <c r="A36" s="15" t="s">
        <v>6</v>
      </c>
      <c r="B36" s="11">
        <v>60.971707068609732</v>
      </c>
      <c r="C36" s="11">
        <v>44.824139999726519</v>
      </c>
      <c r="D36" s="11">
        <v>-16.147567068883049</v>
      </c>
      <c r="E36" s="12" t="str">
        <f>IF(       0.012&lt;0.01,"***",IF(       0.012&lt;0.05,"**",IF(       0.012&lt;0.1,"*","NS")))</f>
        <v>**</v>
      </c>
      <c r="G36" s="15" t="s">
        <v>6</v>
      </c>
      <c r="H36" s="11">
        <v>60.971707068609732</v>
      </c>
      <c r="I36" s="11">
        <v>50.438816715536987</v>
      </c>
      <c r="J36" s="11">
        <v>-10.532890353072581</v>
      </c>
      <c r="K36" s="12" t="str">
        <f>IF(       0.113&lt;0.01,"***",IF(       0.113&lt;0.05,"**",IF(       0.113&lt;0.1,"*","NS")))</f>
        <v>NS</v>
      </c>
      <c r="L36" s="11">
        <v>25.908410883624189</v>
      </c>
      <c r="M36" s="11">
        <v>-35.063296184985383</v>
      </c>
      <c r="N36" s="12" t="str">
        <f>IF(       0&lt;0.01,"***",IF(       0&lt;0.05,"**",IF(       0&lt;0.1,"*","NS")))</f>
        <v>***</v>
      </c>
      <c r="P36" s="15" t="s">
        <v>6</v>
      </c>
      <c r="Q36" s="11">
        <v>59.886652947613989</v>
      </c>
      <c r="R36" s="11">
        <v>25.908410883624189</v>
      </c>
      <c r="S36" s="11">
        <v>-33.978242063989683</v>
      </c>
      <c r="T36" s="12" t="str">
        <f>IF(       0&lt;0.01,"***",IF(       0&lt;0.05,"**",IF(       0&lt;0.1,"*","NS")))</f>
        <v>***</v>
      </c>
    </row>
    <row r="37" spans="1:20" ht="15.75" customHeight="1">
      <c r="A37" s="15" t="s">
        <v>7</v>
      </c>
      <c r="B37" s="11">
        <v>71.031677865920244</v>
      </c>
      <c r="C37" s="11">
        <v>65.152644508479526</v>
      </c>
      <c r="D37" s="11">
        <v>-5.8790333574407994</v>
      </c>
      <c r="E37" s="12" t="str">
        <f>IF(       0.087&lt;0.01,"***",IF(       0.087&lt;0.05,"**",IF(       0.087&lt;0.1,"*","NS")))</f>
        <v>*</v>
      </c>
      <c r="G37" s="15" t="s">
        <v>7</v>
      </c>
      <c r="H37" s="11">
        <v>71.031677865920244</v>
      </c>
      <c r="I37" s="11">
        <v>71.352666507525981</v>
      </c>
      <c r="J37" s="11">
        <v>0.32098864160563623</v>
      </c>
      <c r="K37" s="12" t="str">
        <f>IF(       0.924&lt;0.01,"***",IF(       0.924&lt;0.05,"**",IF(       0.924&lt;0.1,"*","NS")))</f>
        <v>NS</v>
      </c>
      <c r="L37" s="11">
        <v>50.308222725278227</v>
      </c>
      <c r="M37" s="11">
        <v>-20.723455140642404</v>
      </c>
      <c r="N37" s="12" t="str">
        <f>IF(       0.002&lt;0.01,"***",IF(       0.002&lt;0.05,"**",IF(       0.002&lt;0.1,"*","NS")))</f>
        <v>***</v>
      </c>
      <c r="P37" s="15" t="s">
        <v>7</v>
      </c>
      <c r="Q37" s="11">
        <v>71.069772517160942</v>
      </c>
      <c r="R37" s="11">
        <v>50.308222725278227</v>
      </c>
      <c r="S37" s="11">
        <v>-20.761549791883166</v>
      </c>
      <c r="T37" s="12" t="str">
        <f>IF(       0.002&lt;0.01,"***",IF(       0.002&lt;0.05,"**",IF(       0.002&lt;0.1,"*","NS")))</f>
        <v>***</v>
      </c>
    </row>
    <row r="38" spans="1:20" ht="15.75" customHeight="1">
      <c r="A38" s="15" t="s">
        <v>8</v>
      </c>
      <c r="B38" s="11">
        <v>65.182801569552282</v>
      </c>
      <c r="C38" s="11">
        <v>53.172042618145532</v>
      </c>
      <c r="D38" s="11">
        <v>-12.010758951406666</v>
      </c>
      <c r="E38" s="12" t="str">
        <f>IF(       0.004&lt;0.01,"***",IF(       0.004&lt;0.05,"**",IF(       0.004&lt;0.1,"*","NS")))</f>
        <v>***</v>
      </c>
      <c r="G38" s="15" t="s">
        <v>8</v>
      </c>
      <c r="H38" s="11">
        <v>65.182801569552282</v>
      </c>
      <c r="I38" s="11">
        <v>54.298086626637819</v>
      </c>
      <c r="J38" s="11">
        <v>-10.884714942914581</v>
      </c>
      <c r="K38" s="12" t="str">
        <f>IF(       0.016&lt;0.01,"***",IF(       0.016&lt;0.05,"**",IF(       0.016&lt;0.1,"*","NS")))</f>
        <v>**</v>
      </c>
      <c r="L38" s="11">
        <v>50.556424181276093</v>
      </c>
      <c r="M38" s="11">
        <v>-14.626377388275886</v>
      </c>
      <c r="N38" s="12" t="str">
        <f>IF(       0.01&lt;0.01,"***",IF(       0.01&lt;0.05,"**",IF(       0.01&lt;0.1,"*","NS")))</f>
        <v>**</v>
      </c>
      <c r="P38" s="15" t="s">
        <v>8</v>
      </c>
      <c r="Q38" s="11">
        <v>64.234323104941012</v>
      </c>
      <c r="R38" s="11">
        <v>50.556424181276093</v>
      </c>
      <c r="S38" s="11">
        <v>-13.677898923664753</v>
      </c>
      <c r="T38" s="12" t="str">
        <f>IF(       0.013&lt;0.01,"***",IF(       0.013&lt;0.05,"**",IF(       0.013&lt;0.1,"*","NS")))</f>
        <v>**</v>
      </c>
    </row>
    <row r="39" spans="1:20" ht="15.75" customHeight="1">
      <c r="A39" s="15" t="s">
        <v>10</v>
      </c>
      <c r="B39" s="11">
        <v>67.437162935943391</v>
      </c>
      <c r="C39" s="11">
        <v>59.097738699803102</v>
      </c>
      <c r="D39" s="11">
        <v>-8.3394242361401556</v>
      </c>
      <c r="E39" s="12" t="str">
        <f>IF(       0.003&lt;0.01,"***",IF(       0.003&lt;0.05,"**",IF(       0.003&lt;0.1,"*","NS")))</f>
        <v>***</v>
      </c>
      <c r="G39" s="15" t="s">
        <v>10</v>
      </c>
      <c r="H39" s="11">
        <v>67.437162935943391</v>
      </c>
      <c r="I39" s="11">
        <v>64.615064730794586</v>
      </c>
      <c r="J39" s="11">
        <v>-2.8220982051489218</v>
      </c>
      <c r="K39" s="12" t="str">
        <f>IF(       0.315&lt;0.01,"***",IF(       0.315&lt;0.05,"**",IF(       0.315&lt;0.1,"*","NS")))</f>
        <v>NS</v>
      </c>
      <c r="L39" s="11">
        <v>46.14190721712361</v>
      </c>
      <c r="M39" s="11">
        <v>-21.295255718820208</v>
      </c>
      <c r="N39" s="12" t="str">
        <f>IF(       0&lt;0.01,"***",IF(       0&lt;0.05,"**",IF(       0&lt;0.1,"*","NS")))</f>
        <v>***</v>
      </c>
      <c r="P39" s="15" t="s">
        <v>10</v>
      </c>
      <c r="Q39" s="11">
        <v>67.123203132260329</v>
      </c>
      <c r="R39" s="11">
        <v>46.14190721712361</v>
      </c>
      <c r="S39" s="11">
        <v>-20.981295915135913</v>
      </c>
      <c r="T39" s="12" t="str">
        <f>IF(       0&lt;0.01,"***",IF(       0&lt;0.05,"**",IF(       0&lt;0.1,"*","NS")))</f>
        <v>***</v>
      </c>
    </row>
    <row r="40" spans="1:20" ht="15.75" customHeight="1"/>
    <row r="41" spans="1:20" ht="15.75" customHeight="1">
      <c r="A41" s="15" t="s">
        <v>62</v>
      </c>
      <c r="G41" s="15" t="s">
        <v>63</v>
      </c>
      <c r="P41" s="15" t="s">
        <v>64</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39.480791195057307</v>
      </c>
      <c r="C43" s="11">
        <v>28.99523160355378</v>
      </c>
      <c r="D43" s="11">
        <v>-10.485559591503467</v>
      </c>
      <c r="E43" s="12" t="str">
        <f>IF(       0.003&lt;0.01,"***",IF(       0.003&lt;0.05,"**",IF(       0.003&lt;0.1,"*","NS")))</f>
        <v>***</v>
      </c>
      <c r="G43" s="15" t="s">
        <v>5</v>
      </c>
      <c r="H43" s="11">
        <v>39.480791195057307</v>
      </c>
      <c r="I43" s="11">
        <v>32.633073346550873</v>
      </c>
      <c r="J43" s="11">
        <v>-6.8477178485063135</v>
      </c>
      <c r="K43" s="12" t="str">
        <f>IF(       0.118&lt;0.01,"***",IF(       0.118&lt;0.05,"**",IF(       0.118&lt;0.1,"*","NS")))</f>
        <v>NS</v>
      </c>
      <c r="L43" s="11">
        <v>23.490359480908459</v>
      </c>
      <c r="M43" s="11">
        <v>-15.990431714149519</v>
      </c>
      <c r="N43" s="12" t="str">
        <f>IF(       0.08&lt;0.01,"***",IF(       0.08&lt;0.05,"**",IF(       0.08&lt;0.1,"*","NS")))</f>
        <v>*</v>
      </c>
      <c r="P43" s="15" t="s">
        <v>5</v>
      </c>
      <c r="Q43" s="11">
        <v>39.245716656632148</v>
      </c>
      <c r="R43" s="11">
        <v>23.490359480908459</v>
      </c>
      <c r="S43" s="11">
        <v>-15.755357175723056</v>
      </c>
      <c r="T43" s="12" t="str">
        <f>IF(       0&lt;0.01,"***",IF(       0&lt;0.05,"**",IF(       0&lt;0.1,"*","NS")))</f>
        <v>***</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73.993205516612647</v>
      </c>
      <c r="C45" s="11">
        <v>75.658627958066731</v>
      </c>
      <c r="D45" s="11">
        <v>1.6654224414540957</v>
      </c>
      <c r="E45" s="12" t="str">
        <f>IF(       0.547&lt;0.01,"***",IF(       0.547&lt;0.05,"**",IF(       0.547&lt;0.1,"*","NS")))</f>
        <v>NS</v>
      </c>
      <c r="G45" s="15" t="s">
        <v>7</v>
      </c>
      <c r="H45" s="11">
        <v>73.993205516612647</v>
      </c>
      <c r="I45" s="11">
        <v>77.611888363057233</v>
      </c>
      <c r="J45" s="11">
        <v>3.6186828464446648</v>
      </c>
      <c r="K45" s="12" t="str">
        <f>IF(       0.256&lt;0.01,"***",IF(       0.256&lt;0.05,"**",IF(       0.256&lt;0.1,"*","NS")))</f>
        <v>NS</v>
      </c>
      <c r="L45" s="11">
        <v>68.459662828423973</v>
      </c>
      <c r="M45" s="11">
        <v>-5.5335426881886178</v>
      </c>
      <c r="N45" s="12" t="str">
        <f>IF(       0&lt;0.01,"***",IF(       0&lt;0.05,"**",IF(       0&lt;0.1,"*","NS")))</f>
        <v>***</v>
      </c>
      <c r="P45" s="15" t="s">
        <v>7</v>
      </c>
      <c r="Q45" s="11">
        <v>74.239726525966233</v>
      </c>
      <c r="R45" s="11">
        <v>68.459662828423973</v>
      </c>
      <c r="S45" s="11">
        <v>-5.7800636975423139</v>
      </c>
      <c r="T45" s="12" t="str">
        <f>IF(       0.406&lt;0.01,"***",IF(       0.406&lt;0.05,"**",IF(       0.406&lt;0.1,"*","NS")))</f>
        <v>NS</v>
      </c>
    </row>
    <row r="46" spans="1:20" ht="15.75" customHeight="1">
      <c r="A46" s="15" t="s">
        <v>8</v>
      </c>
      <c r="B46" s="11">
        <v>60.498806466879238</v>
      </c>
      <c r="C46" s="11">
        <v>56.383998324422627</v>
      </c>
      <c r="D46" s="11">
        <v>-4.1148081424567478</v>
      </c>
      <c r="E46" s="12" t="str">
        <f>IF(       0.307&lt;0.01,"***",IF(       0.307&lt;0.05,"**",IF(       0.307&lt;0.1,"*","NS")))</f>
        <v>NS</v>
      </c>
      <c r="G46" s="15" t="s">
        <v>8</v>
      </c>
      <c r="H46" s="11">
        <v>60.498806466879238</v>
      </c>
      <c r="I46" s="11">
        <v>59.414331074027046</v>
      </c>
      <c r="J46" s="11">
        <v>-1.0844753928522182</v>
      </c>
      <c r="K46" s="12" t="str">
        <f>IF(       0.782&lt;0.01,"***",IF(       0.782&lt;0.05,"**",IF(       0.782&lt;0.1,"*","NS")))</f>
        <v>NS</v>
      </c>
      <c r="L46" s="11">
        <v>45.543511276350998</v>
      </c>
      <c r="M46" s="11">
        <v>-14.955295190527956</v>
      </c>
      <c r="N46" s="12" t="str">
        <f>IF(       0.423&lt;0.01,"***",IF(       0.423&lt;0.05,"**",IF(       0.423&lt;0.1,"*","NS")))</f>
        <v>NS</v>
      </c>
      <c r="P46" s="15" t="s">
        <v>8</v>
      </c>
      <c r="Q46" s="11">
        <v>60.448195484437967</v>
      </c>
      <c r="R46" s="11">
        <v>45.543511276350998</v>
      </c>
      <c r="S46" s="11">
        <v>-14.904684208087527</v>
      </c>
      <c r="T46" s="12" t="str">
        <f>IF(       0.06&lt;0.01,"***",IF(       0.06&lt;0.05,"**",IF(       0.06&lt;0.1,"*","NS")))</f>
        <v>*</v>
      </c>
    </row>
    <row r="47" spans="1:20" ht="15.75" customHeight="1">
      <c r="A47" s="15" t="s">
        <v>10</v>
      </c>
      <c r="B47" s="11">
        <v>57.549742615943821</v>
      </c>
      <c r="C47" s="11">
        <v>57.636863988277668</v>
      </c>
      <c r="D47" s="11">
        <v>8.712137233388223E-2</v>
      </c>
      <c r="E47" s="12" t="str">
        <f>IF(       0.969&lt;0.01,"***",IF(       0.969&lt;0.05,"**",IF(       0.969&lt;0.1,"*","NS")))</f>
        <v>NS</v>
      </c>
      <c r="G47" s="15" t="s">
        <v>10</v>
      </c>
      <c r="H47" s="11">
        <v>57.549742615943821</v>
      </c>
      <c r="I47" s="11">
        <v>62.657106456255534</v>
      </c>
      <c r="J47" s="11">
        <v>5.1073638403120363</v>
      </c>
      <c r="K47" s="12" t="str">
        <f>IF(       0.054&lt;0.01,"***",IF(       0.054&lt;0.05,"**",IF(       0.054&lt;0.1,"*","NS")))</f>
        <v>*</v>
      </c>
      <c r="L47" s="11">
        <v>43.598444610949642</v>
      </c>
      <c r="M47" s="11">
        <v>-13.951298004995015</v>
      </c>
      <c r="N47" s="12" t="str">
        <f>IF(       0&lt;0.01,"***",IF(       0&lt;0.05,"**",IF(       0&lt;0.1,"*","NS")))</f>
        <v>***</v>
      </c>
      <c r="P47" s="15" t="s">
        <v>10</v>
      </c>
      <c r="Q47" s="11">
        <v>57.807919252090123</v>
      </c>
      <c r="R47" s="11">
        <v>43.598444610949642</v>
      </c>
      <c r="S47" s="11">
        <v>-14.209474641140519</v>
      </c>
      <c r="T47" s="12" t="str">
        <f>IF(       0&lt;0.01,"***",IF(       0&lt;0.05,"**",IF(       0&lt;0.1,"*","NS")))</f>
        <v>***</v>
      </c>
    </row>
    <row r="48" spans="1:20" ht="15.75" customHeight="1"/>
    <row r="49" spans="1:20" ht="15.75" customHeight="1">
      <c r="A49" s="15" t="s">
        <v>65</v>
      </c>
      <c r="G49" s="15" t="s">
        <v>66</v>
      </c>
      <c r="P49" s="15" t="s">
        <v>67</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12.127797278807151</v>
      </c>
      <c r="C51" s="11">
        <v>11.48874096687481</v>
      </c>
      <c r="D51" s="11">
        <v>-0.63905631193234114</v>
      </c>
      <c r="E51" s="12" t="str">
        <f>IF(       0.643&lt;0.01,"***",IF(       0.643&lt;0.05,"**",IF(       0.643&lt;0.1,"*","NS")))</f>
        <v>NS</v>
      </c>
      <c r="G51" s="15" t="s">
        <v>5</v>
      </c>
      <c r="H51" s="11">
        <v>12.127797278807151</v>
      </c>
      <c r="I51" s="11">
        <v>10.99044524937166</v>
      </c>
      <c r="J51" s="11">
        <v>-1.1373520294355057</v>
      </c>
      <c r="K51" s="12" t="str">
        <f>IF(       0.463&lt;0.01,"***",IF(       0.463&lt;0.05,"**",IF(       0.463&lt;0.1,"*","NS")))</f>
        <v>NS</v>
      </c>
      <c r="L51" s="11">
        <v>12.242327611585999</v>
      </c>
      <c r="M51" s="11">
        <v>0.1145303327788499</v>
      </c>
      <c r="N51" s="12" t="str">
        <f>IF(       0.959&lt;0.01,"***",IF(       0.959&lt;0.05,"**",IF(       0.959&lt;0.1,"*","NS")))</f>
        <v>NS</v>
      </c>
      <c r="P51" s="15" t="s">
        <v>5</v>
      </c>
      <c r="Q51" s="11">
        <v>11.84490769790566</v>
      </c>
      <c r="R51" s="11">
        <v>12.242327611585999</v>
      </c>
      <c r="S51" s="11">
        <v>0.39741991368033319</v>
      </c>
      <c r="T51" s="12" t="str">
        <f>IF(       0.858&lt;0.01,"***",IF(       0.858&lt;0.05,"**",IF(       0.858&lt;0.1,"*","NS")))</f>
        <v>NS</v>
      </c>
    </row>
    <row r="52" spans="1:20" ht="15.75" customHeight="1">
      <c r="A52" s="15" t="s">
        <v>6</v>
      </c>
      <c r="B52" s="11">
        <v>16.541640865287011</v>
      </c>
      <c r="C52" s="11">
        <v>15.103658877989499</v>
      </c>
      <c r="D52" s="11">
        <v>-1.437981987297507</v>
      </c>
      <c r="E52" s="12" t="str">
        <f>IF(       0.59&lt;0.01,"***",IF(       0.59&lt;0.05,"**",IF(       0.59&lt;0.1,"*","NS")))</f>
        <v>NS</v>
      </c>
      <c r="G52" s="15" t="s">
        <v>6</v>
      </c>
      <c r="H52" s="11">
        <v>16.541640865287011</v>
      </c>
      <c r="I52" s="11">
        <v>16.643415140480091</v>
      </c>
      <c r="J52" s="11">
        <v>0.10177427519309151</v>
      </c>
      <c r="K52" s="12" t="str">
        <f>IF(       0.974&lt;0.01,"***",IF(       0.974&lt;0.05,"**",IF(       0.974&lt;0.1,"*","NS")))</f>
        <v>NS</v>
      </c>
      <c r="L52" s="11">
        <v>11.38213947119085</v>
      </c>
      <c r="M52" s="11">
        <v>-5.1595013940961456</v>
      </c>
      <c r="N52" s="12" t="str">
        <f>IF(       0.079&lt;0.01,"***",IF(       0.079&lt;0.05,"**",IF(       0.079&lt;0.1,"*","NS")))</f>
        <v>*</v>
      </c>
      <c r="P52" s="15" t="s">
        <v>6</v>
      </c>
      <c r="Q52" s="11">
        <v>16.565467241300439</v>
      </c>
      <c r="R52" s="11">
        <v>11.38213947119085</v>
      </c>
      <c r="S52" s="11">
        <v>-5.1833277701094893</v>
      </c>
      <c r="T52" s="12" t="str">
        <f>IF(       0.059&lt;0.01,"***",IF(       0.059&lt;0.05,"**",IF(       0.059&lt;0.1,"*","NS")))</f>
        <v>*</v>
      </c>
    </row>
    <row r="53" spans="1:20" ht="15.75" customHeight="1">
      <c r="A53" s="15" t="s">
        <v>7</v>
      </c>
      <c r="B53" s="11">
        <v>44.842431941734098</v>
      </c>
      <c r="C53" s="11">
        <v>46.973505811214153</v>
      </c>
      <c r="D53" s="11">
        <v>2.1310738694800855</v>
      </c>
      <c r="E53" s="12" t="str">
        <f>IF(       0.653&lt;0.01,"***",IF(       0.653&lt;0.05,"**",IF(       0.653&lt;0.1,"*","NS")))</f>
        <v>NS</v>
      </c>
      <c r="G53" s="15" t="s">
        <v>7</v>
      </c>
      <c r="H53" s="11">
        <v>44.842431941734098</v>
      </c>
      <c r="I53" s="11">
        <v>54.468017226304703</v>
      </c>
      <c r="J53" s="11">
        <v>9.6255852845705459</v>
      </c>
      <c r="K53" s="12" t="str">
        <f>IF(       0.07&lt;0.01,"***",IF(       0.07&lt;0.05,"**",IF(       0.07&lt;0.1,"*","NS")))</f>
        <v>*</v>
      </c>
      <c r="L53" s="11">
        <v>33.614284718074948</v>
      </c>
      <c r="M53" s="11">
        <v>-11.228147223659196</v>
      </c>
      <c r="N53" s="12" t="str">
        <f>IF(       0.06&lt;0.01,"***",IF(       0.06&lt;0.05,"**",IF(       0.06&lt;0.1,"*","NS")))</f>
        <v>*</v>
      </c>
      <c r="P53" s="15" t="s">
        <v>7</v>
      </c>
      <c r="Q53" s="11">
        <v>47.283645082939508</v>
      </c>
      <c r="R53" s="11">
        <v>33.614284718074948</v>
      </c>
      <c r="S53" s="11">
        <v>-13.669360364864605</v>
      </c>
      <c r="T53" s="12" t="str">
        <f>IF(       0.015&lt;0.01,"***",IF(       0.015&lt;0.05,"**",IF(       0.015&lt;0.1,"*","NS")))</f>
        <v>**</v>
      </c>
    </row>
    <row r="54" spans="1:20" ht="15.75" customHeight="1">
      <c r="A54" s="15" t="s">
        <v>8</v>
      </c>
      <c r="B54" s="11">
        <v>20.691923031113781</v>
      </c>
      <c r="C54" s="11">
        <v>19.34635710529847</v>
      </c>
      <c r="D54" s="11">
        <v>-1.3455659258153134</v>
      </c>
      <c r="E54" s="12" t="str">
        <f>IF(       0.631&lt;0.01,"***",IF(       0.631&lt;0.05,"**",IF(       0.631&lt;0.1,"*","NS")))</f>
        <v>NS</v>
      </c>
      <c r="G54" s="15" t="s">
        <v>8</v>
      </c>
      <c r="H54" s="11">
        <v>20.691923031113781</v>
      </c>
      <c r="I54" s="11">
        <v>20.27636192874683</v>
      </c>
      <c r="J54" s="11">
        <v>-0.41556110236694682</v>
      </c>
      <c r="K54" s="12" t="str">
        <f>IF(       0.898&lt;0.01,"***",IF(       0.898&lt;0.05,"**",IF(       0.898&lt;0.1,"*","NS")))</f>
        <v>NS</v>
      </c>
      <c r="L54" s="11">
        <v>17.482049159917761</v>
      </c>
      <c r="M54" s="11">
        <v>-3.2098738711960295</v>
      </c>
      <c r="N54" s="12" t="str">
        <f>IF(       0.342&lt;0.01,"***",IF(       0.342&lt;0.05,"**",IF(       0.342&lt;0.1,"*","NS")))</f>
        <v>NS</v>
      </c>
      <c r="P54" s="15" t="s">
        <v>8</v>
      </c>
      <c r="Q54" s="11">
        <v>20.611299833211611</v>
      </c>
      <c r="R54" s="11">
        <v>17.482049159917761</v>
      </c>
      <c r="S54" s="11">
        <v>-3.1292506732938437</v>
      </c>
      <c r="T54" s="12" t="str">
        <f>IF(       0.327&lt;0.01,"***",IF(       0.327&lt;0.05,"**",IF(       0.327&lt;0.1,"*","NS")))</f>
        <v>NS</v>
      </c>
    </row>
    <row r="55" spans="1:20" ht="15.75" customHeight="1">
      <c r="A55" s="15" t="s">
        <v>10</v>
      </c>
      <c r="B55" s="11">
        <v>26.742257539561809</v>
      </c>
      <c r="C55" s="11">
        <v>27.5856669421002</v>
      </c>
      <c r="D55" s="11">
        <v>0.84340940253837671</v>
      </c>
      <c r="E55" s="12" t="str">
        <f>IF(       0.726&lt;0.01,"***",IF(       0.726&lt;0.05,"**",IF(       0.726&lt;0.1,"*","NS")))</f>
        <v>NS</v>
      </c>
      <c r="G55" s="15" t="s">
        <v>10</v>
      </c>
      <c r="H55" s="11">
        <v>26.742257539561809</v>
      </c>
      <c r="I55" s="11">
        <v>30.94288607738844</v>
      </c>
      <c r="J55" s="11">
        <v>4.200628537826594</v>
      </c>
      <c r="K55" s="12" t="str">
        <f>IF(       0.136&lt;0.01,"***",IF(       0.136&lt;0.05,"**",IF(       0.136&lt;0.1,"*","NS")))</f>
        <v>NS</v>
      </c>
      <c r="L55" s="11">
        <v>21.555424003460459</v>
      </c>
      <c r="M55" s="11">
        <v>-5.1868335361014468</v>
      </c>
      <c r="N55" s="12" t="str">
        <f>IF(       0.08&lt;0.01,"***",IF(       0.08&lt;0.05,"**",IF(       0.08&lt;0.1,"*","NS")))</f>
        <v>*</v>
      </c>
      <c r="P55" s="15" t="s">
        <v>10</v>
      </c>
      <c r="Q55" s="11">
        <v>27.74661324099889</v>
      </c>
      <c r="R55" s="11">
        <v>21.555424003460459</v>
      </c>
      <c r="S55" s="11">
        <v>-6.19118923753856</v>
      </c>
      <c r="T55" s="12" t="str">
        <f>IF(       0.028&lt;0.01,"***",IF(       0.028&lt;0.05,"**",IF(       0.028&lt;0.1,"*","NS")))</f>
        <v>**</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68</v>
      </c>
      <c r="G1" s="15" t="s">
        <v>69</v>
      </c>
      <c r="P1" s="15" t="s">
        <v>70</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79.497679380828217</v>
      </c>
      <c r="C3" s="11">
        <v>89.73145759855251</v>
      </c>
      <c r="D3" s="11">
        <v>10.233778217724312</v>
      </c>
      <c r="E3" s="12" t="str">
        <f>IF(       0&lt;0.01,"***",IF(       0&lt;0.05,"**",IF(       0&lt;0.1,"*","NS")))</f>
        <v>***</v>
      </c>
      <c r="G3" s="15" t="s">
        <v>5</v>
      </c>
      <c r="H3" s="11">
        <v>79.497679380828217</v>
      </c>
      <c r="I3" s="11">
        <v>88.838263748789529</v>
      </c>
      <c r="J3" s="11">
        <v>9.3405843679616272</v>
      </c>
      <c r="K3" s="12" t="str">
        <f>IF(       0&lt;0.01,"***",IF(       0&lt;0.05,"**",IF(       0&lt;0.1,"*","NS")))</f>
        <v>***</v>
      </c>
      <c r="L3" s="11">
        <v>91.084176164761274</v>
      </c>
      <c r="M3" s="11">
        <v>11.586496783933208</v>
      </c>
      <c r="N3" s="12" t="str">
        <f t="shared" ref="N3:N4" si="0">IF(       0&lt;0.01,"***",IF(       0&lt;0.05,"**",IF(       0&lt;0.1,"*","NS")))</f>
        <v>***</v>
      </c>
      <c r="P3" s="15" t="s">
        <v>5</v>
      </c>
      <c r="Q3" s="11">
        <v>80.357437180431589</v>
      </c>
      <c r="R3" s="11">
        <v>91.084176164761274</v>
      </c>
      <c r="S3" s="11">
        <v>10.726738984329561</v>
      </c>
      <c r="T3" s="12" t="str">
        <f t="shared" ref="T3:T4" si="1">IF(       0&lt;0.01,"***",IF(       0&lt;0.05,"**",IF(       0&lt;0.1,"*","NS")))</f>
        <v>***</v>
      </c>
    </row>
    <row r="4" spans="1:20">
      <c r="A4" s="15" t="s">
        <v>6</v>
      </c>
      <c r="B4" s="11">
        <v>76.54971442643901</v>
      </c>
      <c r="C4" s="11">
        <v>85.80798341277719</v>
      </c>
      <c r="D4" s="11">
        <v>9.2582689863379084</v>
      </c>
      <c r="E4" s="12" t="str">
        <f>IF(       0.001&lt;0.01,"***",IF(       0.001&lt;0.05,"**",IF(       0.001&lt;0.1,"*","NS")))</f>
        <v>***</v>
      </c>
      <c r="G4" s="15" t="s">
        <v>6</v>
      </c>
      <c r="H4" s="11">
        <v>76.54971442643901</v>
      </c>
      <c r="I4" s="11">
        <v>81.723415332226608</v>
      </c>
      <c r="J4" s="11">
        <v>5.1737009057876113</v>
      </c>
      <c r="K4" s="12" t="str">
        <f>IF(       0.144&lt;0.01,"***",IF(       0.144&lt;0.05,"**",IF(       0.144&lt;0.1,"*","NS")))</f>
        <v>NS</v>
      </c>
      <c r="L4" s="11">
        <v>96.239074556675547</v>
      </c>
      <c r="M4" s="11">
        <v>19.689360130237116</v>
      </c>
      <c r="N4" s="12" t="str">
        <f t="shared" si="0"/>
        <v>***</v>
      </c>
      <c r="P4" s="15" t="s">
        <v>6</v>
      </c>
      <c r="Q4" s="11">
        <v>77.037680363180911</v>
      </c>
      <c r="R4" s="11">
        <v>96.239074556675547</v>
      </c>
      <c r="S4" s="11">
        <v>19.201394193494686</v>
      </c>
      <c r="T4" s="12" t="str">
        <f t="shared" si="1"/>
        <v>***</v>
      </c>
    </row>
    <row r="5" spans="1:20">
      <c r="A5" s="15" t="s">
        <v>7</v>
      </c>
      <c r="B5" s="11">
        <v>53.347965438583067</v>
      </c>
      <c r="C5" s="11">
        <v>58.080251407342168</v>
      </c>
      <c r="D5" s="11">
        <v>4.7322859687591494</v>
      </c>
      <c r="E5" s="12" t="str">
        <f>IF(       0.225&lt;0.01,"***",IF(       0.225&lt;0.05,"**",IF(       0.225&lt;0.1,"*","NS")))</f>
        <v>NS</v>
      </c>
      <c r="G5" s="15" t="s">
        <v>7</v>
      </c>
      <c r="H5" s="11">
        <v>53.347965438583067</v>
      </c>
      <c r="I5" s="11">
        <v>52.578954032397647</v>
      </c>
      <c r="J5" s="11">
        <v>-0.76901140618525099</v>
      </c>
      <c r="K5" s="12" t="str">
        <f>IF(       0.851&lt;0.01,"***",IF(       0.851&lt;0.05,"**",IF(       0.851&lt;0.1,"*","NS")))</f>
        <v>NS</v>
      </c>
      <c r="L5" s="11">
        <v>70.914848364175185</v>
      </c>
      <c r="M5" s="11">
        <v>17.566882925591766</v>
      </c>
      <c r="N5" s="12" t="str">
        <f>IF(       0.001&lt;0.01,"***",IF(       0.001&lt;0.05,"**",IF(       0.001&lt;0.1,"*","NS")))</f>
        <v>***</v>
      </c>
      <c r="P5" s="15" t="s">
        <v>7</v>
      </c>
      <c r="Q5" s="11">
        <v>53.257606674730717</v>
      </c>
      <c r="R5" s="11">
        <v>70.914848364175185</v>
      </c>
      <c r="S5" s="11">
        <v>17.657241689444039</v>
      </c>
      <c r="T5" s="12" t="str">
        <f>IF(       0.001&lt;0.01,"***",IF(       0.001&lt;0.05,"**",IF(       0.001&lt;0.1,"*","NS")))</f>
        <v>***</v>
      </c>
    </row>
    <row r="6" spans="1:20">
      <c r="A6" s="15" t="s">
        <v>8</v>
      </c>
      <c r="B6" s="11">
        <v>66.138600671403822</v>
      </c>
      <c r="C6" s="11">
        <v>81.287710448157029</v>
      </c>
      <c r="D6" s="11">
        <v>15.14910977675229</v>
      </c>
      <c r="E6" s="12" t="str">
        <f t="shared" ref="E6:E7" si="2">IF(       0&lt;0.01,"***",IF(       0&lt;0.05,"**",IF(       0&lt;0.1,"*","NS")))</f>
        <v>***</v>
      </c>
      <c r="G6" s="15" t="s">
        <v>8</v>
      </c>
      <c r="H6" s="11">
        <v>66.138600671403822</v>
      </c>
      <c r="I6" s="11">
        <v>79.4695399306013</v>
      </c>
      <c r="J6" s="11">
        <v>13.330939259197375</v>
      </c>
      <c r="K6" s="12" t="str">
        <f>IF(       0&lt;0.01,"***",IF(       0&lt;0.05,"**",IF(       0&lt;0.1,"*","NS")))</f>
        <v>***</v>
      </c>
      <c r="L6" s="11">
        <v>85.57903128390177</v>
      </c>
      <c r="M6" s="11">
        <v>19.440430612498119</v>
      </c>
      <c r="N6" s="12" t="str">
        <f t="shared" ref="N6:N7" si="3">IF(       0&lt;0.01,"***",IF(       0&lt;0.05,"**",IF(       0&lt;0.1,"*","NS")))</f>
        <v>***</v>
      </c>
      <c r="P6" s="15" t="s">
        <v>8</v>
      </c>
      <c r="Q6" s="11">
        <v>67.343642191782905</v>
      </c>
      <c r="R6" s="11">
        <v>85.57903128390177</v>
      </c>
      <c r="S6" s="11">
        <v>18.235389092119412</v>
      </c>
      <c r="T6" s="12" t="str">
        <f t="shared" ref="T6:T7" si="4">IF(       0&lt;0.01,"***",IF(       0&lt;0.05,"**",IF(       0&lt;0.1,"*","NS")))</f>
        <v>***</v>
      </c>
    </row>
    <row r="7" spans="1:20">
      <c r="A7" s="15" t="s">
        <v>10</v>
      </c>
      <c r="B7" s="11">
        <v>66.792429953692107</v>
      </c>
      <c r="C7" s="11">
        <v>74.193550067777409</v>
      </c>
      <c r="D7" s="11">
        <v>7.4011201140855443</v>
      </c>
      <c r="E7" s="12" t="str">
        <f t="shared" si="2"/>
        <v>***</v>
      </c>
      <c r="G7" s="15" t="s">
        <v>10</v>
      </c>
      <c r="H7" s="11">
        <v>66.792429953692107</v>
      </c>
      <c r="I7" s="11">
        <v>69.984728890955239</v>
      </c>
      <c r="J7" s="11">
        <v>3.1922989372629909</v>
      </c>
      <c r="K7" s="12" t="str">
        <f>IF(       0.191&lt;0.01,"***",IF(       0.191&lt;0.05,"**",IF(       0.191&lt;0.1,"*","NS")))</f>
        <v>NS</v>
      </c>
      <c r="L7" s="11">
        <v>82.930637294217419</v>
      </c>
      <c r="M7" s="11">
        <v>16.138207340524456</v>
      </c>
      <c r="N7" s="12" t="str">
        <f t="shared" si="3"/>
        <v>***</v>
      </c>
      <c r="P7" s="15" t="s">
        <v>10</v>
      </c>
      <c r="Q7" s="11">
        <v>67.118916202666853</v>
      </c>
      <c r="R7" s="11">
        <v>82.930637294217419</v>
      </c>
      <c r="S7" s="11">
        <v>15.811721091549501</v>
      </c>
      <c r="T7" s="12" t="str">
        <f t="shared" si="4"/>
        <v>***</v>
      </c>
    </row>
    <row r="9" spans="1:20">
      <c r="A9" s="15" t="s">
        <v>71</v>
      </c>
      <c r="G9" s="15" t="s">
        <v>72</v>
      </c>
      <c r="P9" s="15" t="s">
        <v>73</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82.135696646833651</v>
      </c>
      <c r="C11" s="11">
        <v>89.452111022252126</v>
      </c>
      <c r="D11" s="11">
        <v>7.3164143754183311</v>
      </c>
      <c r="E11" s="12" t="str">
        <f>IF(       0&lt;0.01,"***",IF(       0&lt;0.05,"**",IF(       0&lt;0.1,"*","NS")))</f>
        <v>***</v>
      </c>
      <c r="G11" s="15" t="s">
        <v>5</v>
      </c>
      <c r="H11" s="11">
        <v>82.135696646833651</v>
      </c>
      <c r="I11" s="11">
        <v>88.380677688817329</v>
      </c>
      <c r="J11" s="11">
        <v>6.2449810419837783</v>
      </c>
      <c r="K11" s="12" t="str">
        <f>IF(       0.005&lt;0.01,"***",IF(       0.005&lt;0.05,"**",IF(       0.005&lt;0.1,"*","NS")))</f>
        <v>***</v>
      </c>
      <c r="L11" s="11">
        <v>91.102540183702459</v>
      </c>
      <c r="M11" s="11">
        <v>8.9668435368692254</v>
      </c>
      <c r="N11" s="12" t="str">
        <f t="shared" ref="N11:N12" si="5">IF(       0&lt;0.01,"***",IF(       0&lt;0.05,"**",IF(       0&lt;0.1,"*","NS")))</f>
        <v>***</v>
      </c>
      <c r="P11" s="15" t="s">
        <v>5</v>
      </c>
      <c r="Q11" s="11">
        <v>82.704461974978571</v>
      </c>
      <c r="R11" s="11">
        <v>91.102540183702459</v>
      </c>
      <c r="S11" s="11">
        <v>8.3980782087237156</v>
      </c>
      <c r="T11" s="12" t="str">
        <f>IF(       0.001&lt;0.01,"***",IF(       0.001&lt;0.05,"**",IF(       0.001&lt;0.1,"*","NS")))</f>
        <v>***</v>
      </c>
    </row>
    <row r="12" spans="1:20">
      <c r="A12" s="15" t="s">
        <v>6</v>
      </c>
      <c r="B12" s="11">
        <v>78.381276438055949</v>
      </c>
      <c r="C12" s="11">
        <v>86.78530238012884</v>
      </c>
      <c r="D12" s="11">
        <v>8.4040259420728773</v>
      </c>
      <c r="E12" s="12" t="str">
        <f>IF(       0.01&lt;0.01,"***",IF(       0.01&lt;0.05,"**",IF(       0.01&lt;0.1,"*","NS")))</f>
        <v>**</v>
      </c>
      <c r="G12" s="15" t="s">
        <v>6</v>
      </c>
      <c r="H12" s="11">
        <v>78.381276438055949</v>
      </c>
      <c r="I12" s="11">
        <v>82.993143360826494</v>
      </c>
      <c r="J12" s="11">
        <v>4.611866922770524</v>
      </c>
      <c r="K12" s="12" t="str">
        <f>IF(       0.255&lt;0.01,"***",IF(       0.255&lt;0.05,"**",IF(       0.255&lt;0.1,"*","NS")))</f>
        <v>NS</v>
      </c>
      <c r="L12" s="11">
        <v>97.127637767229118</v>
      </c>
      <c r="M12" s="11">
        <v>18.746361329173205</v>
      </c>
      <c r="N12" s="12" t="str">
        <f t="shared" si="5"/>
        <v>***</v>
      </c>
      <c r="P12" s="15" t="s">
        <v>6</v>
      </c>
      <c r="Q12" s="11">
        <v>78.799558909666757</v>
      </c>
      <c r="R12" s="11">
        <v>97.127637767229118</v>
      </c>
      <c r="S12" s="11">
        <v>18.328078857562275</v>
      </c>
      <c r="T12" s="12" t="str">
        <f>IF(       0&lt;0.01,"***",IF(       0&lt;0.05,"**",IF(       0&lt;0.1,"*","NS")))</f>
        <v>***</v>
      </c>
    </row>
    <row r="13" spans="1:20">
      <c r="A13" s="15" t="s">
        <v>7</v>
      </c>
      <c r="B13" s="11">
        <v>57.469272743959877</v>
      </c>
      <c r="C13" s="11">
        <v>61.226191832037522</v>
      </c>
      <c r="D13" s="11">
        <v>3.7569190880776775</v>
      </c>
      <c r="E13" s="12" t="str">
        <f>IF(       0.338&lt;0.01,"***",IF(       0.338&lt;0.05,"**",IF(       0.338&lt;0.1,"*","NS")))</f>
        <v>NS</v>
      </c>
      <c r="G13" s="15" t="s">
        <v>7</v>
      </c>
      <c r="H13" s="11">
        <v>57.469272743959877</v>
      </c>
      <c r="I13" s="11">
        <v>58.302231701388322</v>
      </c>
      <c r="J13" s="11">
        <v>0.83295895742845227</v>
      </c>
      <c r="K13" s="12" t="str">
        <f>IF(       0.811&lt;0.01,"***",IF(       0.811&lt;0.05,"**",IF(       0.811&lt;0.1,"*","NS")))</f>
        <v>NS</v>
      </c>
      <c r="L13" s="11">
        <v>68.60209863208533</v>
      </c>
      <c r="M13" s="11">
        <v>11.132825888125364</v>
      </c>
      <c r="N13" s="12" t="str">
        <f>IF(       0.064&lt;0.01,"***",IF(       0.064&lt;0.05,"**",IF(       0.064&lt;0.1,"*","NS")))</f>
        <v>*</v>
      </c>
      <c r="P13" s="15" t="s">
        <v>7</v>
      </c>
      <c r="Q13" s="11">
        <v>57.584098775127693</v>
      </c>
      <c r="R13" s="11">
        <v>68.60209863208533</v>
      </c>
      <c r="S13" s="11">
        <v>11.017999856957523</v>
      </c>
      <c r="T13" s="12" t="str">
        <f>IF(       0.052&lt;0.01,"***",IF(       0.052&lt;0.05,"**",IF(       0.052&lt;0.1,"*","NS")))</f>
        <v>*</v>
      </c>
    </row>
    <row r="14" spans="1:20">
      <c r="A14" s="15" t="s">
        <v>8</v>
      </c>
      <c r="B14" s="11">
        <v>73.145396483890593</v>
      </c>
      <c r="C14" s="11">
        <v>87.12190997860985</v>
      </c>
      <c r="D14" s="11">
        <v>13.976513494719173</v>
      </c>
      <c r="E14" s="12" t="str">
        <f>IF(       0&lt;0.01,"***",IF(       0&lt;0.05,"**",IF(       0&lt;0.1,"*","NS")))</f>
        <v>***</v>
      </c>
      <c r="G14" s="15" t="s">
        <v>8</v>
      </c>
      <c r="H14" s="11">
        <v>73.145396483890593</v>
      </c>
      <c r="I14" s="11">
        <v>85.011911982720818</v>
      </c>
      <c r="J14" s="11">
        <v>11.866515498830429</v>
      </c>
      <c r="K14" s="12" t="str">
        <f>IF(       0&lt;0.01,"***",IF(       0&lt;0.05,"**",IF(       0&lt;0.1,"*","NS")))</f>
        <v>***</v>
      </c>
      <c r="L14" s="11">
        <v>92.483606495129578</v>
      </c>
      <c r="M14" s="11">
        <v>19.338210011239553</v>
      </c>
      <c r="N14" s="12" t="str">
        <f t="shared" ref="N14:N15" si="6">IF(       0&lt;0.01,"***",IF(       0&lt;0.05,"**",IF(       0&lt;0.1,"*","NS")))</f>
        <v>***</v>
      </c>
      <c r="P14" s="15" t="s">
        <v>8</v>
      </c>
      <c r="Q14" s="11">
        <v>74.223027757869019</v>
      </c>
      <c r="R14" s="11">
        <v>92.483606495129578</v>
      </c>
      <c r="S14" s="11">
        <v>18.260578737260378</v>
      </c>
      <c r="T14" s="12" t="str">
        <f t="shared" ref="T14:T15" si="7">IF(       0&lt;0.01,"***",IF(       0&lt;0.05,"**",IF(       0&lt;0.1,"*","NS")))</f>
        <v>***</v>
      </c>
    </row>
    <row r="15" spans="1:20">
      <c r="A15" s="15" t="s">
        <v>10</v>
      </c>
      <c r="B15" s="11">
        <v>70.959021236948331</v>
      </c>
      <c r="C15" s="11">
        <v>75.604772024109252</v>
      </c>
      <c r="D15" s="11">
        <v>4.6457507871609351</v>
      </c>
      <c r="E15" s="12" t="str">
        <f>IF(       0.025&lt;0.01,"***",IF(       0.025&lt;0.05,"**",IF(       0.025&lt;0.1,"*","NS")))</f>
        <v>**</v>
      </c>
      <c r="G15" s="15" t="s">
        <v>10</v>
      </c>
      <c r="H15" s="11">
        <v>70.959021236948331</v>
      </c>
      <c r="I15" s="11">
        <v>72.525293684597955</v>
      </c>
      <c r="J15" s="11">
        <v>1.5662724476495258</v>
      </c>
      <c r="K15" s="12" t="str">
        <f>IF(       0.437&lt;0.01,"***",IF(       0.437&lt;0.05,"**",IF(       0.437&lt;0.1,"*","NS")))</f>
        <v>NS</v>
      </c>
      <c r="L15" s="11">
        <v>82.373429871433331</v>
      </c>
      <c r="M15" s="11">
        <v>11.414408634484642</v>
      </c>
      <c r="N15" s="12" t="str">
        <f t="shared" si="6"/>
        <v>***</v>
      </c>
      <c r="P15" s="15" t="s">
        <v>10</v>
      </c>
      <c r="Q15" s="11">
        <v>71.129795400975127</v>
      </c>
      <c r="R15" s="11">
        <v>82.373429871433331</v>
      </c>
      <c r="S15" s="11">
        <v>11.243634470459186</v>
      </c>
      <c r="T15" s="12" t="str">
        <f t="shared" si="7"/>
        <v>***</v>
      </c>
    </row>
    <row r="17" spans="1:20">
      <c r="A17" s="15" t="s">
        <v>74</v>
      </c>
      <c r="G17" s="15" t="s">
        <v>75</v>
      </c>
      <c r="P17" s="15" t="s">
        <v>76</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75.558946797251934</v>
      </c>
      <c r="C19" s="11">
        <v>90.130110076543247</v>
      </c>
      <c r="D19" s="11">
        <v>14.57116327929166</v>
      </c>
      <c r="E19" s="12" t="str">
        <f>IF(       0&lt;0.01,"***",IF(       0&lt;0.05,"**",IF(       0&lt;0.1,"*","NS")))</f>
        <v>***</v>
      </c>
      <c r="G19" s="15" t="s">
        <v>5</v>
      </c>
      <c r="H19" s="11">
        <v>75.558946797251934</v>
      </c>
      <c r="I19" s="11">
        <v>89.502061341348664</v>
      </c>
      <c r="J19" s="11">
        <v>13.943114544096581</v>
      </c>
      <c r="K19" s="12" t="str">
        <f>IF(       0&lt;0.01,"***",IF(       0&lt;0.05,"**",IF(       0&lt;0.1,"*","NS")))</f>
        <v>***</v>
      </c>
      <c r="L19" s="11">
        <v>91.058608749423627</v>
      </c>
      <c r="M19" s="11">
        <v>15.499661952171547</v>
      </c>
      <c r="N19" s="12" t="str">
        <f t="shared" ref="N19:N23" si="8">IF(       0&lt;0.01,"***",IF(       0&lt;0.05,"**",IF(       0&lt;0.1,"*","NS")))</f>
        <v>***</v>
      </c>
      <c r="P19" s="15" t="s">
        <v>5</v>
      </c>
      <c r="Q19" s="11">
        <v>76.862482145156648</v>
      </c>
      <c r="R19" s="11">
        <v>91.058608749423627</v>
      </c>
      <c r="S19" s="11">
        <v>14.196126604267278</v>
      </c>
      <c r="T19" s="12" t="str">
        <f t="shared" ref="T19:T23" si="9">IF(       0&lt;0.01,"***",IF(       0&lt;0.05,"**",IF(       0&lt;0.1,"*","NS")))</f>
        <v>***</v>
      </c>
    </row>
    <row r="20" spans="1:20">
      <c r="A20" s="15" t="s">
        <v>6</v>
      </c>
      <c r="B20" s="11">
        <v>73.955384223758458</v>
      </c>
      <c r="C20" s="11">
        <v>84.606798429660657</v>
      </c>
      <c r="D20" s="11">
        <v>10.651414205902226</v>
      </c>
      <c r="E20" s="12" t="str">
        <f>IF(       0.001&lt;0.01,"***",IF(       0.001&lt;0.05,"**",IF(       0.001&lt;0.1,"*","NS")))</f>
        <v>***</v>
      </c>
      <c r="G20" s="15" t="s">
        <v>6</v>
      </c>
      <c r="H20" s="11">
        <v>73.955384223758458</v>
      </c>
      <c r="I20" s="11">
        <v>80.097977582993067</v>
      </c>
      <c r="J20" s="11">
        <v>6.142593359234529</v>
      </c>
      <c r="K20" s="12" t="str">
        <f>IF(       0.124&lt;0.01,"***",IF(       0.124&lt;0.05,"**",IF(       0.124&lt;0.1,"*","NS")))</f>
        <v>NS</v>
      </c>
      <c r="L20" s="11">
        <v>95.254167569857898</v>
      </c>
      <c r="M20" s="11">
        <v>21.298783346099519</v>
      </c>
      <c r="N20" s="12" t="str">
        <f t="shared" si="8"/>
        <v>***</v>
      </c>
      <c r="P20" s="15" t="s">
        <v>6</v>
      </c>
      <c r="Q20" s="11">
        <v>74.565924856334945</v>
      </c>
      <c r="R20" s="11">
        <v>95.254167569857898</v>
      </c>
      <c r="S20" s="11">
        <v>20.688242713522545</v>
      </c>
      <c r="T20" s="12" t="str">
        <f t="shared" si="9"/>
        <v>***</v>
      </c>
    </row>
    <row r="21" spans="1:20" ht="15.75" customHeight="1">
      <c r="A21" s="15" t="s">
        <v>7</v>
      </c>
      <c r="B21" s="11">
        <v>48.445489034688308</v>
      </c>
      <c r="C21" s="11">
        <v>52.542257463223407</v>
      </c>
      <c r="D21" s="11">
        <v>4.0967684285351291</v>
      </c>
      <c r="E21" s="12" t="str">
        <f>IF(       0.438&lt;0.01,"***",IF(       0.438&lt;0.05,"**",IF(       0.438&lt;0.1,"*","NS")))</f>
        <v>NS</v>
      </c>
      <c r="G21" s="15" t="s">
        <v>7</v>
      </c>
      <c r="H21" s="11">
        <v>48.445489034688308</v>
      </c>
      <c r="I21" s="11">
        <v>41.835279895916287</v>
      </c>
      <c r="J21" s="11">
        <v>-6.6102091387720892</v>
      </c>
      <c r="K21" s="12" t="str">
        <f>IF(       0.299&lt;0.01,"***",IF(       0.299&lt;0.05,"**",IF(       0.299&lt;0.1,"*","NS")))</f>
        <v>NS</v>
      </c>
      <c r="L21" s="11">
        <v>74.433692350421268</v>
      </c>
      <c r="M21" s="11">
        <v>25.988203315733077</v>
      </c>
      <c r="N21" s="12" t="str">
        <f t="shared" si="8"/>
        <v>***</v>
      </c>
      <c r="P21" s="15" t="s">
        <v>7</v>
      </c>
      <c r="Q21" s="11">
        <v>47.837342116602123</v>
      </c>
      <c r="R21" s="11">
        <v>74.433692350421268</v>
      </c>
      <c r="S21" s="11">
        <v>26.596350233819056</v>
      </c>
      <c r="T21" s="12" t="str">
        <f t="shared" si="9"/>
        <v>***</v>
      </c>
    </row>
    <row r="22" spans="1:20" ht="15.75" customHeight="1">
      <c r="A22" s="15" t="s">
        <v>8</v>
      </c>
      <c r="B22" s="11">
        <v>57.820963379050397</v>
      </c>
      <c r="C22" s="11">
        <v>74.602741371072312</v>
      </c>
      <c r="D22" s="11">
        <v>16.781777992021958</v>
      </c>
      <c r="E22" s="12" t="str">
        <f t="shared" ref="E22:E23" si="10">IF(       0&lt;0.01,"***",IF(       0&lt;0.05,"**",IF(       0&lt;0.1,"*","NS")))</f>
        <v>***</v>
      </c>
      <c r="G22" s="15" t="s">
        <v>8</v>
      </c>
      <c r="H22" s="11">
        <v>57.820963379050397</v>
      </c>
      <c r="I22" s="11">
        <v>72.816585928944079</v>
      </c>
      <c r="J22" s="11">
        <v>14.995622549893431</v>
      </c>
      <c r="K22" s="12" t="str">
        <f>IF(       0&lt;0.01,"***",IF(       0&lt;0.05,"**",IF(       0&lt;0.1,"*","NS")))</f>
        <v>***</v>
      </c>
      <c r="L22" s="11">
        <v>78.486688704955824</v>
      </c>
      <c r="M22" s="11">
        <v>20.665725325905733</v>
      </c>
      <c r="N22" s="12" t="str">
        <f t="shared" si="8"/>
        <v>***</v>
      </c>
      <c r="P22" s="15" t="s">
        <v>8</v>
      </c>
      <c r="Q22" s="11">
        <v>59.169026759412461</v>
      </c>
      <c r="R22" s="11">
        <v>78.486688704955824</v>
      </c>
      <c r="S22" s="11">
        <v>19.317661945543176</v>
      </c>
      <c r="T22" s="12" t="str">
        <f t="shared" si="9"/>
        <v>***</v>
      </c>
    </row>
    <row r="23" spans="1:20" ht="15.75" customHeight="1">
      <c r="A23" s="15" t="s">
        <v>10</v>
      </c>
      <c r="B23" s="11">
        <v>61.345436677387973</v>
      </c>
      <c r="C23" s="11">
        <v>72.097491824221663</v>
      </c>
      <c r="D23" s="11">
        <v>10.752055146833403</v>
      </c>
      <c r="E23" s="12" t="str">
        <f t="shared" si="10"/>
        <v>***</v>
      </c>
      <c r="G23" s="15" t="s">
        <v>10</v>
      </c>
      <c r="H23" s="11">
        <v>61.345436677387973</v>
      </c>
      <c r="I23" s="11">
        <v>66.033970090601272</v>
      </c>
      <c r="J23" s="11">
        <v>4.6885334132133254</v>
      </c>
      <c r="K23" s="12" t="str">
        <f>IF(       0.216&lt;0.01,"***",IF(       0.216&lt;0.05,"**",IF(       0.216&lt;0.1,"*","NS")))</f>
        <v>NS</v>
      </c>
      <c r="L23" s="11">
        <v>83.683935517658114</v>
      </c>
      <c r="M23" s="11">
        <v>22.338498840269718</v>
      </c>
      <c r="N23" s="12" t="str">
        <f t="shared" si="8"/>
        <v>***</v>
      </c>
      <c r="P23" s="15" t="s">
        <v>10</v>
      </c>
      <c r="Q23" s="11">
        <v>61.782786011418949</v>
      </c>
      <c r="R23" s="11">
        <v>83.683935517658114</v>
      </c>
      <c r="S23" s="11">
        <v>21.901149506237886</v>
      </c>
      <c r="T23" s="12" t="str">
        <f t="shared" si="9"/>
        <v>***</v>
      </c>
    </row>
    <row r="24" spans="1:20" ht="15.75" customHeight="1"/>
    <row r="25" spans="1:20" ht="15.75" customHeight="1">
      <c r="A25" s="15" t="s">
        <v>77</v>
      </c>
      <c r="G25" s="15" t="s">
        <v>78</v>
      </c>
      <c r="P25" s="15" t="s">
        <v>79</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83.115090556165768</v>
      </c>
      <c r="C27" s="11">
        <v>93.020236705553927</v>
      </c>
      <c r="D27" s="11">
        <v>9.9051461493880204</v>
      </c>
      <c r="E27" s="12" t="str">
        <f>IF(       0&lt;0.01,"***",IF(       0&lt;0.05,"**",IF(       0&lt;0.1,"*","NS")))</f>
        <v>***</v>
      </c>
      <c r="G27" s="15" t="s">
        <v>5</v>
      </c>
      <c r="H27" s="11">
        <v>83.115090556165768</v>
      </c>
      <c r="I27" s="11">
        <v>92.448877025398261</v>
      </c>
      <c r="J27" s="11">
        <v>9.3337864692325141</v>
      </c>
      <c r="K27" s="12" t="str">
        <f>IF(       0&lt;0.01,"***",IF(       0&lt;0.05,"**",IF(       0&lt;0.1,"*","NS")))</f>
        <v>***</v>
      </c>
      <c r="L27" s="11">
        <v>93.867376267036704</v>
      </c>
      <c r="M27" s="11">
        <v>10.752285710871137</v>
      </c>
      <c r="N27" s="12" t="str">
        <f t="shared" ref="N27:N31" si="11">IF(       0&lt;0.01,"***",IF(       0&lt;0.05,"**",IF(       0&lt;0.1,"*","NS")))</f>
        <v>***</v>
      </c>
      <c r="P27" s="15" t="s">
        <v>5</v>
      </c>
      <c r="Q27" s="11">
        <v>83.963832829753713</v>
      </c>
      <c r="R27" s="11">
        <v>93.867376267036704</v>
      </c>
      <c r="S27" s="11">
        <v>9.9035434372838402</v>
      </c>
      <c r="T27" s="12" t="str">
        <f t="shared" ref="T27:T31" si="12">IF(       0&lt;0.01,"***",IF(       0&lt;0.05,"**",IF(       0&lt;0.1,"*","NS")))</f>
        <v>***</v>
      </c>
    </row>
    <row r="28" spans="1:20" ht="15.75" customHeight="1">
      <c r="A28" s="15" t="s">
        <v>6</v>
      </c>
      <c r="B28" s="11">
        <v>82.916042636126036</v>
      </c>
      <c r="C28" s="11">
        <v>93.088400892171947</v>
      </c>
      <c r="D28" s="11">
        <v>10.172358256045939</v>
      </c>
      <c r="E28" s="12" t="str">
        <f>IF(       0.002&lt;0.01,"***",IF(       0.002&lt;0.05,"**",IF(       0.002&lt;0.1,"*","NS")))</f>
        <v>***</v>
      </c>
      <c r="G28" s="15" t="s">
        <v>6</v>
      </c>
      <c r="H28" s="11">
        <v>82.916042636126036</v>
      </c>
      <c r="I28" s="11">
        <v>90.840618780802458</v>
      </c>
      <c r="J28" s="11">
        <v>7.9245761446765846</v>
      </c>
      <c r="K28" s="12" t="str">
        <f>IF(       0.072&lt;0.01,"***",IF(       0.072&lt;0.05,"**",IF(       0.072&lt;0.1,"*","NS")))</f>
        <v>*</v>
      </c>
      <c r="L28" s="11">
        <v>98.165822780704048</v>
      </c>
      <c r="M28" s="11">
        <v>15.249780144578104</v>
      </c>
      <c r="N28" s="12" t="str">
        <f t="shared" si="11"/>
        <v>***</v>
      </c>
      <c r="P28" s="15" t="s">
        <v>6</v>
      </c>
      <c r="Q28" s="11">
        <v>83.62972599585332</v>
      </c>
      <c r="R28" s="11">
        <v>98.165822780704048</v>
      </c>
      <c r="S28" s="11">
        <v>14.536096784850869</v>
      </c>
      <c r="T28" s="12" t="str">
        <f t="shared" si="12"/>
        <v>***</v>
      </c>
    </row>
    <row r="29" spans="1:20" ht="15.75" customHeight="1">
      <c r="A29" s="15" t="s">
        <v>7</v>
      </c>
      <c r="B29" s="11">
        <v>68.118250298919207</v>
      </c>
      <c r="C29" s="11">
        <v>86.237895268337766</v>
      </c>
      <c r="D29" s="11">
        <v>18.119644969419017</v>
      </c>
      <c r="E29" s="12" t="str">
        <f t="shared" ref="E29:E31" si="13">IF(       0&lt;0.01,"***",IF(       0&lt;0.05,"**",IF(       0&lt;0.1,"*","NS")))</f>
        <v>***</v>
      </c>
      <c r="G29" s="15" t="s">
        <v>7</v>
      </c>
      <c r="H29" s="11">
        <v>68.118250298919207</v>
      </c>
      <c r="I29" s="11">
        <v>81.720843061379995</v>
      </c>
      <c r="J29" s="11">
        <v>13.60259276246066</v>
      </c>
      <c r="K29" s="12" t="str">
        <f>IF(       0.003&lt;0.01,"***",IF(       0.003&lt;0.05,"**",IF(       0.003&lt;0.1,"*","NS")))</f>
        <v>***</v>
      </c>
      <c r="L29" s="11">
        <v>94.631743361596747</v>
      </c>
      <c r="M29" s="11">
        <v>26.513493062677561</v>
      </c>
      <c r="N29" s="12" t="str">
        <f t="shared" si="11"/>
        <v>***</v>
      </c>
      <c r="P29" s="15" t="s">
        <v>7</v>
      </c>
      <c r="Q29" s="11">
        <v>69.633552653002894</v>
      </c>
      <c r="R29" s="11">
        <v>94.631743361596747</v>
      </c>
      <c r="S29" s="11">
        <v>24.998190708594613</v>
      </c>
      <c r="T29" s="12" t="str">
        <f t="shared" si="12"/>
        <v>***</v>
      </c>
    </row>
    <row r="30" spans="1:20" ht="15.75" customHeight="1">
      <c r="A30" s="15" t="s">
        <v>8</v>
      </c>
      <c r="B30" s="11">
        <v>72.489558057318121</v>
      </c>
      <c r="C30" s="11">
        <v>87.02678725124278</v>
      </c>
      <c r="D30" s="11">
        <v>14.537229193924331</v>
      </c>
      <c r="E30" s="12" t="str">
        <f t="shared" si="13"/>
        <v>***</v>
      </c>
      <c r="G30" s="15" t="s">
        <v>8</v>
      </c>
      <c r="H30" s="11">
        <v>72.489558057318121</v>
      </c>
      <c r="I30" s="11">
        <v>84.303704916409473</v>
      </c>
      <c r="J30" s="11">
        <v>11.814146859091302</v>
      </c>
      <c r="K30" s="12" t="str">
        <f t="shared" ref="K30:K31" si="14">IF(       0&lt;0.01,"***",IF(       0&lt;0.05,"**",IF(       0&lt;0.1,"*","NS")))</f>
        <v>***</v>
      </c>
      <c r="L30" s="11">
        <v>93.584095154047731</v>
      </c>
      <c r="M30" s="11">
        <v>21.09453709672994</v>
      </c>
      <c r="N30" s="12" t="str">
        <f t="shared" si="11"/>
        <v>***</v>
      </c>
      <c r="P30" s="15" t="s">
        <v>8</v>
      </c>
      <c r="Q30" s="11">
        <v>73.581457904044029</v>
      </c>
      <c r="R30" s="11">
        <v>93.584095154047731</v>
      </c>
      <c r="S30" s="11">
        <v>20.002637250003993</v>
      </c>
      <c r="T30" s="12" t="str">
        <f t="shared" si="12"/>
        <v>***</v>
      </c>
    </row>
    <row r="31" spans="1:20" ht="15.75" customHeight="1">
      <c r="A31" s="15" t="s">
        <v>10</v>
      </c>
      <c r="B31" s="11">
        <v>78.941911673285446</v>
      </c>
      <c r="C31" s="11">
        <v>90.870871637382521</v>
      </c>
      <c r="D31" s="11">
        <v>11.928959964096975</v>
      </c>
      <c r="E31" s="12" t="str">
        <f t="shared" si="13"/>
        <v>***</v>
      </c>
      <c r="G31" s="15" t="s">
        <v>10</v>
      </c>
      <c r="H31" s="11">
        <v>78.941911673285446</v>
      </c>
      <c r="I31" s="11">
        <v>88.761750849396549</v>
      </c>
      <c r="J31" s="11">
        <v>9.8198391761105359</v>
      </c>
      <c r="K31" s="12" t="str">
        <f t="shared" si="14"/>
        <v>***</v>
      </c>
      <c r="L31" s="11">
        <v>94.696133981777137</v>
      </c>
      <c r="M31" s="11">
        <v>15.754222308491439</v>
      </c>
      <c r="N31" s="12" t="str">
        <f t="shared" si="11"/>
        <v>***</v>
      </c>
      <c r="P31" s="15" t="s">
        <v>10</v>
      </c>
      <c r="Q31" s="11">
        <v>79.863404166312435</v>
      </c>
      <c r="R31" s="11">
        <v>94.696133981777137</v>
      </c>
      <c r="S31" s="11">
        <v>14.83272981546507</v>
      </c>
      <c r="T31" s="12" t="str">
        <f t="shared" si="12"/>
        <v>***</v>
      </c>
    </row>
    <row r="32" spans="1:20" ht="15.75" customHeight="1"/>
    <row r="33" spans="1:20" ht="15.75" customHeight="1">
      <c r="A33" s="15" t="s">
        <v>80</v>
      </c>
      <c r="G33" s="15" t="s">
        <v>81</v>
      </c>
      <c r="P33" s="15" t="s">
        <v>82</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64.965236205608576</v>
      </c>
      <c r="C35" s="11">
        <v>76.836947573805375</v>
      </c>
      <c r="D35" s="11">
        <v>11.871711368196571</v>
      </c>
      <c r="E35" s="12" t="str">
        <f>IF(       0&lt;0.01,"***",IF(       0&lt;0.05,"**",IF(       0&lt;0.1,"*","NS")))</f>
        <v>***</v>
      </c>
      <c r="G35" s="15" t="s">
        <v>5</v>
      </c>
      <c r="H35" s="11">
        <v>64.965236205608576</v>
      </c>
      <c r="I35" s="11">
        <v>75.252176371262095</v>
      </c>
      <c r="J35" s="11">
        <v>10.286940165653434</v>
      </c>
      <c r="K35" s="12" t="str">
        <f>IF(       0.004&lt;0.01,"***",IF(       0.004&lt;0.05,"**",IF(       0.004&lt;0.1,"*","NS")))</f>
        <v>***</v>
      </c>
      <c r="L35" s="11">
        <v>79.447748503436046</v>
      </c>
      <c r="M35" s="11">
        <v>14.482512297827011</v>
      </c>
      <c r="N35" s="12" t="str">
        <f>IF(       0.001&lt;0.01,"***",IF(       0.001&lt;0.05,"**",IF(       0.001&lt;0.1,"*","NS")))</f>
        <v>***</v>
      </c>
      <c r="P35" s="15" t="s">
        <v>5</v>
      </c>
      <c r="Q35" s="11">
        <v>65.957822465813976</v>
      </c>
      <c r="R35" s="11">
        <v>79.447748503436046</v>
      </c>
      <c r="S35" s="11">
        <v>13.489926037622439</v>
      </c>
      <c r="T35" s="12" t="str">
        <f>IF(       0.001&lt;0.01,"***",IF(       0.001&lt;0.05,"**",IF(       0.001&lt;0.1,"*","NS")))</f>
        <v>***</v>
      </c>
    </row>
    <row r="36" spans="1:20" ht="15.75" customHeight="1">
      <c r="A36" s="15" t="s">
        <v>6</v>
      </c>
      <c r="B36" s="11">
        <v>61.825847516906308</v>
      </c>
      <c r="C36" s="11">
        <v>69.762369599669952</v>
      </c>
      <c r="D36" s="11">
        <v>7.9365220827636271</v>
      </c>
      <c r="E36" s="12" t="str">
        <f>IF(       0.072&lt;0.01,"***",IF(       0.072&lt;0.05,"**",IF(       0.072&lt;0.1,"*","NS")))</f>
        <v>*</v>
      </c>
      <c r="G36" s="15" t="s">
        <v>6</v>
      </c>
      <c r="H36" s="11">
        <v>61.825847516906308</v>
      </c>
      <c r="I36" s="11">
        <v>63.745775473188921</v>
      </c>
      <c r="J36" s="11">
        <v>1.9199279562825704</v>
      </c>
      <c r="K36" s="12" t="str">
        <f>IF(       0.65&lt;0.01,"***",IF(       0.65&lt;0.05,"**",IF(       0.65&lt;0.1,"*","NS")))</f>
        <v>NS</v>
      </c>
      <c r="L36" s="11">
        <v>90.454603830927354</v>
      </c>
      <c r="M36" s="11">
        <v>28.628756314021036</v>
      </c>
      <c r="N36" s="12" t="str">
        <f>IF(       0&lt;0.01,"***",IF(       0&lt;0.05,"**",IF(       0&lt;0.1,"*","NS")))</f>
        <v>***</v>
      </c>
      <c r="P36" s="15" t="s">
        <v>6</v>
      </c>
      <c r="Q36" s="11">
        <v>62.02554187165827</v>
      </c>
      <c r="R36" s="11">
        <v>90.454603830927354</v>
      </c>
      <c r="S36" s="11">
        <v>28.429061959269376</v>
      </c>
      <c r="T36" s="12" t="str">
        <f>IF(       0&lt;0.01,"***",IF(       0&lt;0.05,"**",IF(       0&lt;0.1,"*","NS")))</f>
        <v>***</v>
      </c>
    </row>
    <row r="37" spans="1:20" ht="15.75" customHeight="1">
      <c r="A37" s="15" t="s">
        <v>7</v>
      </c>
      <c r="B37" s="11">
        <v>50.07009357591479</v>
      </c>
      <c r="C37" s="11">
        <v>51.726238516218807</v>
      </c>
      <c r="D37" s="11">
        <v>1.6561449403040487</v>
      </c>
      <c r="E37" s="12" t="str">
        <f>IF(       0.709&lt;0.01,"***",IF(       0.709&lt;0.05,"**",IF(       0.709&lt;0.1,"*","NS")))</f>
        <v>NS</v>
      </c>
      <c r="G37" s="15" t="s">
        <v>7</v>
      </c>
      <c r="H37" s="11">
        <v>50.07009357591479</v>
      </c>
      <c r="I37" s="11">
        <v>46.567603097420523</v>
      </c>
      <c r="J37" s="11">
        <v>-3.5024904784941304</v>
      </c>
      <c r="K37" s="12" t="str">
        <f>IF(       0.449&lt;0.01,"***",IF(       0.449&lt;0.05,"**",IF(       0.449&lt;0.1,"*","NS")))</f>
        <v>NS</v>
      </c>
      <c r="L37" s="11">
        <v>64.430950095044068</v>
      </c>
      <c r="M37" s="11">
        <v>14.360856519129385</v>
      </c>
      <c r="N37" s="12" t="str">
        <f>IF(       0.021&lt;0.01,"***",IF(       0.021&lt;0.05,"**",IF(       0.021&lt;0.1,"*","NS")))</f>
        <v>**</v>
      </c>
      <c r="P37" s="15" t="s">
        <v>7</v>
      </c>
      <c r="Q37" s="11">
        <v>49.653848156006163</v>
      </c>
      <c r="R37" s="11">
        <v>64.430950095044068</v>
      </c>
      <c r="S37" s="11">
        <v>14.777101939037966</v>
      </c>
      <c r="T37" s="12" t="str">
        <f>IF(       0.015&lt;0.01,"***",IF(       0.015&lt;0.05,"**",IF(       0.015&lt;0.1,"*","NS")))</f>
        <v>**</v>
      </c>
    </row>
    <row r="38" spans="1:20" ht="15.75" customHeight="1">
      <c r="A38" s="15" t="s">
        <v>8</v>
      </c>
      <c r="B38" s="11">
        <v>51.843625048086352</v>
      </c>
      <c r="C38" s="11">
        <v>67.551358171529202</v>
      </c>
      <c r="D38" s="11">
        <v>15.707733123442695</v>
      </c>
      <c r="E38" s="12" t="str">
        <f>IF(       0.002&lt;0.01,"***",IF(       0.002&lt;0.05,"**",IF(       0.002&lt;0.1,"*","NS")))</f>
        <v>***</v>
      </c>
      <c r="G38" s="15" t="s">
        <v>8</v>
      </c>
      <c r="H38" s="11">
        <v>51.843625048086352</v>
      </c>
      <c r="I38" s="11">
        <v>67.662356893007157</v>
      </c>
      <c r="J38" s="11">
        <v>15.818731844921086</v>
      </c>
      <c r="K38" s="12" t="str">
        <f>IF(       0.002&lt;0.01,"***",IF(       0.002&lt;0.05,"**",IF(       0.002&lt;0.1,"*","NS")))</f>
        <v>***</v>
      </c>
      <c r="L38" s="11">
        <v>67.301490007961888</v>
      </c>
      <c r="M38" s="11">
        <v>15.457864959875563</v>
      </c>
      <c r="N38" s="12" t="str">
        <f>IF(       0.016&lt;0.01,"***",IF(       0.016&lt;0.05,"**",IF(       0.016&lt;0.1,"*","NS")))</f>
        <v>**</v>
      </c>
      <c r="P38" s="15" t="s">
        <v>8</v>
      </c>
      <c r="Q38" s="11">
        <v>53.200787443453152</v>
      </c>
      <c r="R38" s="11">
        <v>67.301490007961888</v>
      </c>
      <c r="S38" s="11">
        <v>14.100702564508625</v>
      </c>
      <c r="T38" s="12" t="str">
        <f>IF(       0.022&lt;0.01,"***",IF(       0.022&lt;0.05,"**",IF(       0.022&lt;0.1,"*","NS")))</f>
        <v>**</v>
      </c>
    </row>
    <row r="39" spans="1:20" ht="15.75" customHeight="1">
      <c r="A39" s="15" t="s">
        <v>10</v>
      </c>
      <c r="B39" s="11">
        <v>53.329327607121073</v>
      </c>
      <c r="C39" s="11">
        <v>57.498116896375272</v>
      </c>
      <c r="D39" s="11">
        <v>4.1687892892540672</v>
      </c>
      <c r="E39" s="12" t="str">
        <f>IF(       0.212&lt;0.01,"***",IF(       0.212&lt;0.05,"**",IF(       0.212&lt;0.1,"*","NS")))</f>
        <v>NS</v>
      </c>
      <c r="G39" s="15" t="s">
        <v>10</v>
      </c>
      <c r="H39" s="11">
        <v>53.329327607121073</v>
      </c>
      <c r="I39" s="11">
        <v>52.803388551023787</v>
      </c>
      <c r="J39" s="11">
        <v>-0.52593905609741731</v>
      </c>
      <c r="K39" s="12" t="str">
        <f>IF(       0.882&lt;0.01,"***",IF(       0.882&lt;0.05,"**",IF(       0.882&lt;0.1,"*","NS")))</f>
        <v>NS</v>
      </c>
      <c r="L39" s="11">
        <v>68.729782065143525</v>
      </c>
      <c r="M39" s="11">
        <v>15.400454458022732</v>
      </c>
      <c r="N39" s="12" t="str">
        <f>IF(       0.001&lt;0.01,"***",IF(       0.001&lt;0.05,"**",IF(       0.001&lt;0.1,"*","NS")))</f>
        <v>***</v>
      </c>
      <c r="P39" s="15" t="s">
        <v>10</v>
      </c>
      <c r="Q39" s="11">
        <v>53.270718732992947</v>
      </c>
      <c r="R39" s="11">
        <v>68.729782065143525</v>
      </c>
      <c r="S39" s="11">
        <v>15.459063332150162</v>
      </c>
      <c r="T39" s="12" t="str">
        <f>IF(       0&lt;0.01,"***",IF(       0&lt;0.05,"**",IF(       0&lt;0.1,"*","NS")))</f>
        <v>***</v>
      </c>
    </row>
    <row r="40" spans="1:20" ht="15.75" customHeight="1"/>
    <row r="41" spans="1:20" ht="15.75" customHeight="1">
      <c r="A41" s="15" t="s">
        <v>83</v>
      </c>
      <c r="G41" s="15" t="s">
        <v>84</v>
      </c>
      <c r="P41" s="15" t="s">
        <v>85</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75.75234824530466</v>
      </c>
      <c r="C43" s="11">
        <v>79.618171925760223</v>
      </c>
      <c r="D43" s="11">
        <v>3.8658236804555215</v>
      </c>
      <c r="E43" s="12" t="str">
        <f>IF(       0.156&lt;0.01,"***",IF(       0.156&lt;0.05,"**",IF(       0.156&lt;0.1,"*","NS")))</f>
        <v>NS</v>
      </c>
      <c r="G43" s="15" t="s">
        <v>5</v>
      </c>
      <c r="H43" s="11">
        <v>75.75234824530466</v>
      </c>
      <c r="I43" s="11">
        <v>74.998402297036435</v>
      </c>
      <c r="J43" s="11">
        <v>-0.75394594826823924</v>
      </c>
      <c r="K43" s="12" t="str">
        <f>IF(       0.838&lt;0.01,"***",IF(       0.838&lt;0.05,"**",IF(       0.838&lt;0.1,"*","NS")))</f>
        <v>NS</v>
      </c>
      <c r="L43" s="11">
        <v>86.608921617156412</v>
      </c>
      <c r="M43" s="11">
        <v>10.856573371852143</v>
      </c>
      <c r="N43" s="12" t="str">
        <f>IF(       0.435&lt;0.01,"***",IF(       0.435&lt;0.05,"**",IF(       0.435&lt;0.1,"*","NS")))</f>
        <v>NS</v>
      </c>
      <c r="P43" s="15" t="s">
        <v>5</v>
      </c>
      <c r="Q43" s="11">
        <v>75.726241540580801</v>
      </c>
      <c r="R43" s="11">
        <v>86.608921617156412</v>
      </c>
      <c r="S43" s="11">
        <v>10.882680076576287</v>
      </c>
      <c r="T43" s="12" t="str">
        <f>IF(       0.001&lt;0.01,"***",IF(       0.001&lt;0.05,"**",IF(       0.001&lt;0.1,"*","NS")))</f>
        <v>***</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48.628557867493768</v>
      </c>
      <c r="C45" s="11">
        <v>43.281424115502197</v>
      </c>
      <c r="D45" s="11">
        <v>-5.3471337519916231</v>
      </c>
      <c r="E45" s="12" t="str">
        <f>IF(       0.141&lt;0.01,"***",IF(       0.141&lt;0.05,"**",IF(       0.141&lt;0.1,"*","NS")))</f>
        <v>NS</v>
      </c>
      <c r="G45" s="15" t="s">
        <v>7</v>
      </c>
      <c r="H45" s="11">
        <v>48.628557867493768</v>
      </c>
      <c r="I45" s="11">
        <v>38.364330203274392</v>
      </c>
      <c r="J45" s="11">
        <v>-10.264227664219503</v>
      </c>
      <c r="K45" s="12" t="str">
        <f>IF(       0.007&lt;0.01,"***",IF(       0.007&lt;0.05,"**",IF(       0.007&lt;0.1,"*","NS")))</f>
        <v>***</v>
      </c>
      <c r="L45" s="11">
        <v>61.385372477112803</v>
      </c>
      <c r="M45" s="11">
        <v>12.756814609619344</v>
      </c>
      <c r="N45" s="12" t="str">
        <f>IF(       0&lt;0.01,"***",IF(       0&lt;0.05,"**",IF(       0&lt;0.1,"*","NS")))</f>
        <v>***</v>
      </c>
      <c r="P45" s="15" t="s">
        <v>7</v>
      </c>
      <c r="Q45" s="11">
        <v>47.922687614842083</v>
      </c>
      <c r="R45" s="11">
        <v>61.385372477112803</v>
      </c>
      <c r="S45" s="11">
        <v>13.462684862271098</v>
      </c>
      <c r="T45" s="12" t="str">
        <f>IF(       0.102&lt;0.01,"***",IF(       0.102&lt;0.05,"**",IF(       0.102&lt;0.1,"*","NS")))</f>
        <v>NS</v>
      </c>
    </row>
    <row r="46" spans="1:20" ht="15.75" customHeight="1">
      <c r="A46" s="15" t="s">
        <v>8</v>
      </c>
      <c r="B46" s="11">
        <v>57.669935243018571</v>
      </c>
      <c r="C46" s="11">
        <v>63.09277830352481</v>
      </c>
      <c r="D46" s="11">
        <v>5.4228430605063789</v>
      </c>
      <c r="E46" s="12" t="str">
        <f>IF(       0.113&lt;0.01,"***",IF(       0.113&lt;0.05,"**",IF(       0.113&lt;0.1,"*","NS")))</f>
        <v>NS</v>
      </c>
      <c r="G46" s="15" t="s">
        <v>8</v>
      </c>
      <c r="H46" s="11">
        <v>57.669935243018571</v>
      </c>
      <c r="I46" s="11">
        <v>61.151139534331783</v>
      </c>
      <c r="J46" s="11">
        <v>3.4812042913133028</v>
      </c>
      <c r="K46" s="12" t="str">
        <f>IF(       0.336&lt;0.01,"***",IF(       0.336&lt;0.05,"**",IF(       0.336&lt;0.1,"*","NS")))</f>
        <v>NS</v>
      </c>
      <c r="L46" s="11">
        <v>70.00126583270395</v>
      </c>
      <c r="M46" s="11">
        <v>12.331330589685303</v>
      </c>
      <c r="N46" s="12" t="str">
        <f>IF(       0.121&lt;0.01,"***",IF(       0.121&lt;0.05,"**",IF(       0.121&lt;0.1,"*","NS")))</f>
        <v>NS</v>
      </c>
      <c r="P46" s="15" t="s">
        <v>8</v>
      </c>
      <c r="Q46" s="11">
        <v>57.830922265098422</v>
      </c>
      <c r="R46" s="11">
        <v>70.00126583270395</v>
      </c>
      <c r="S46" s="11">
        <v>12.170343567606041</v>
      </c>
      <c r="T46" s="12" t="str">
        <f>IF(       0.065&lt;0.01,"***",IF(       0.065&lt;0.05,"**",IF(       0.065&lt;0.1,"*","NS")))</f>
        <v>*</v>
      </c>
    </row>
    <row r="47" spans="1:20" ht="15.75" customHeight="1">
      <c r="A47" s="15" t="s">
        <v>10</v>
      </c>
      <c r="B47" s="11">
        <v>61.747939081736497</v>
      </c>
      <c r="C47" s="11">
        <v>58.278561174331408</v>
      </c>
      <c r="D47" s="11">
        <v>-3.4693779074052071</v>
      </c>
      <c r="E47" s="12" t="str">
        <f>IF(       0.136&lt;0.01,"***",IF(       0.136&lt;0.05,"**",IF(       0.136&lt;0.1,"*","NS")))</f>
        <v>NS</v>
      </c>
      <c r="G47" s="15" t="s">
        <v>10</v>
      </c>
      <c r="H47" s="11">
        <v>61.747939081736497</v>
      </c>
      <c r="I47" s="11">
        <v>52.019918248485823</v>
      </c>
      <c r="J47" s="11">
        <v>-9.7280208332509108</v>
      </c>
      <c r="K47" s="12" t="str">
        <f>IF(       0&lt;0.01,"***",IF(       0&lt;0.05,"**",IF(       0&lt;0.1,"*","NS")))</f>
        <v>***</v>
      </c>
      <c r="L47" s="11">
        <v>75.731978994117867</v>
      </c>
      <c r="M47" s="11">
        <v>13.984039912381741</v>
      </c>
      <c r="N47" s="12" t="str">
        <f>IF(       0&lt;0.01,"***",IF(       0&lt;0.05,"**",IF(       0&lt;0.1,"*","NS")))</f>
        <v>***</v>
      </c>
      <c r="P47" s="15" t="s">
        <v>10</v>
      </c>
      <c r="Q47" s="11">
        <v>61.253534867670957</v>
      </c>
      <c r="R47" s="11">
        <v>75.731978994117867</v>
      </c>
      <c r="S47" s="11">
        <v>14.47844412644832</v>
      </c>
      <c r="T47" s="12" t="str">
        <f>IF(       0&lt;0.01,"***",IF(       0&lt;0.05,"**",IF(       0&lt;0.1,"*","NS")))</f>
        <v>***</v>
      </c>
    </row>
    <row r="48" spans="1:20" ht="15.75" customHeight="1"/>
    <row r="49" spans="1:20" ht="15.75" customHeight="1">
      <c r="A49" s="15" t="s">
        <v>86</v>
      </c>
      <c r="G49" s="15" t="s">
        <v>87</v>
      </c>
      <c r="P49" s="15" t="s">
        <v>88</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92.690057308663469</v>
      </c>
      <c r="C51" s="11">
        <v>93.5804355585678</v>
      </c>
      <c r="D51" s="11">
        <v>0.89037824990433612</v>
      </c>
      <c r="E51" s="12" t="str">
        <f>IF(       0.404&lt;0.01,"***",IF(       0.404&lt;0.05,"**",IF(       0.404&lt;0.1,"*","NS")))</f>
        <v>NS</v>
      </c>
      <c r="G51" s="15" t="s">
        <v>5</v>
      </c>
      <c r="H51" s="11">
        <v>92.690057308663469</v>
      </c>
      <c r="I51" s="11">
        <v>94.103139563442383</v>
      </c>
      <c r="J51" s="11">
        <v>1.4130822547789075</v>
      </c>
      <c r="K51" s="12" t="str">
        <f>IF(       0.254&lt;0.01,"***",IF(       0.254&lt;0.05,"**",IF(       0.254&lt;0.1,"*","NS")))</f>
        <v>NS</v>
      </c>
      <c r="L51" s="11">
        <v>92.788565481887659</v>
      </c>
      <c r="M51" s="11">
        <v>9.8508173224186771E-2</v>
      </c>
      <c r="N51" s="12" t="str">
        <f>IF(       0.952&lt;0.01,"***",IF(       0.952&lt;0.05,"**",IF(       0.952&lt;0.1,"*","NS")))</f>
        <v>NS</v>
      </c>
      <c r="P51" s="15" t="s">
        <v>5</v>
      </c>
      <c r="Q51" s="11">
        <v>93.042361367989628</v>
      </c>
      <c r="R51" s="11">
        <v>92.788565481887659</v>
      </c>
      <c r="S51" s="11">
        <v>-0.25379588610196169</v>
      </c>
      <c r="T51" s="12" t="str">
        <f>IF(       0.875&lt;0.01,"***",IF(       0.875&lt;0.05,"**",IF(       0.875&lt;0.1,"*","NS")))</f>
        <v>NS</v>
      </c>
    </row>
    <row r="52" spans="1:20" ht="15.75" customHeight="1">
      <c r="A52" s="15" t="s">
        <v>6</v>
      </c>
      <c r="B52" s="11">
        <v>92.920137807505242</v>
      </c>
      <c r="C52" s="11">
        <v>91.049211869477986</v>
      </c>
      <c r="D52" s="11">
        <v>-1.8709259380272432</v>
      </c>
      <c r="E52" s="12" t="str">
        <f>IF(       0.425&lt;0.01,"***",IF(       0.425&lt;0.05,"**",IF(       0.425&lt;0.1,"*","NS")))</f>
        <v>NS</v>
      </c>
      <c r="G52" s="15" t="s">
        <v>6</v>
      </c>
      <c r="H52" s="11">
        <v>92.920137807505242</v>
      </c>
      <c r="I52" s="11">
        <v>88.892582956662892</v>
      </c>
      <c r="J52" s="11">
        <v>-4.0275548508424244</v>
      </c>
      <c r="K52" s="12" t="str">
        <f>IF(       0.178&lt;0.01,"***",IF(       0.178&lt;0.05,"**",IF(       0.178&lt;0.1,"*","NS")))</f>
        <v>NS</v>
      </c>
      <c r="L52" s="11">
        <v>96.282887534156899</v>
      </c>
      <c r="M52" s="11">
        <v>3.3627497266516166</v>
      </c>
      <c r="N52" s="12" t="str">
        <f>IF(       0.087&lt;0.01,"***",IF(       0.087&lt;0.05,"**",IF(       0.087&lt;0.1,"*","NS")))</f>
        <v>*</v>
      </c>
      <c r="P52" s="15" t="s">
        <v>6</v>
      </c>
      <c r="Q52" s="11">
        <v>91.971344067140024</v>
      </c>
      <c r="R52" s="11">
        <v>96.282887534156899</v>
      </c>
      <c r="S52" s="11">
        <v>4.3115434670168726</v>
      </c>
      <c r="T52" s="12" t="str">
        <f>IF(       0.02&lt;0.01,"***",IF(       0.02&lt;0.05,"**",IF(       0.02&lt;0.1,"*","NS")))</f>
        <v>**</v>
      </c>
    </row>
    <row r="53" spans="1:20" ht="15.75" customHeight="1">
      <c r="A53" s="15" t="s">
        <v>7</v>
      </c>
      <c r="B53" s="11">
        <v>69.798439321282558</v>
      </c>
      <c r="C53" s="11">
        <v>67.291008337900905</v>
      </c>
      <c r="D53" s="11">
        <v>-2.5074309833816582</v>
      </c>
      <c r="E53" s="12" t="str">
        <f>IF(       0.613&lt;0.01,"***",IF(       0.613&lt;0.05,"**",IF(       0.613&lt;0.1,"*","NS")))</f>
        <v>NS</v>
      </c>
      <c r="G53" s="15" t="s">
        <v>7</v>
      </c>
      <c r="H53" s="11">
        <v>69.798439321282558</v>
      </c>
      <c r="I53" s="11">
        <v>63.346163864787513</v>
      </c>
      <c r="J53" s="11">
        <v>-6.4522754564950464</v>
      </c>
      <c r="K53" s="12" t="str">
        <f>IF(       0.276&lt;0.01,"***",IF(       0.276&lt;0.05,"**",IF(       0.276&lt;0.1,"*","NS")))</f>
        <v>NS</v>
      </c>
      <c r="L53" s="11">
        <v>74.495228068272425</v>
      </c>
      <c r="M53" s="11">
        <v>4.696788746989867</v>
      </c>
      <c r="N53" s="12" t="str">
        <f>IF(       0.359&lt;0.01,"***",IF(       0.359&lt;0.05,"**",IF(       0.359&lt;0.1,"*","NS")))</f>
        <v>NS</v>
      </c>
      <c r="P53" s="15" t="s">
        <v>7</v>
      </c>
      <c r="Q53" s="11">
        <v>68.161897258006007</v>
      </c>
      <c r="R53" s="11">
        <v>74.495228068272425</v>
      </c>
      <c r="S53" s="11">
        <v>6.3333308102664816</v>
      </c>
      <c r="T53" s="12" t="str">
        <f>IF(       0.181&lt;0.01,"***",IF(       0.181&lt;0.05,"**",IF(       0.181&lt;0.1,"*","NS")))</f>
        <v>NS</v>
      </c>
    </row>
    <row r="54" spans="1:20" ht="15.75" customHeight="1">
      <c r="A54" s="15" t="s">
        <v>8</v>
      </c>
      <c r="B54" s="11">
        <v>89.659311191866152</v>
      </c>
      <c r="C54" s="11">
        <v>89.960658542902536</v>
      </c>
      <c r="D54" s="11">
        <v>0.30134735103639071</v>
      </c>
      <c r="E54" s="12" t="str">
        <f>IF(       0.893&lt;0.01,"***",IF(       0.893&lt;0.05,"**",IF(       0.893&lt;0.1,"*","NS")))</f>
        <v>NS</v>
      </c>
      <c r="G54" s="15" t="s">
        <v>8</v>
      </c>
      <c r="H54" s="11">
        <v>89.659311191866152</v>
      </c>
      <c r="I54" s="11">
        <v>89.717441479744366</v>
      </c>
      <c r="J54" s="11">
        <v>5.8130287878220499E-2</v>
      </c>
      <c r="K54" s="12" t="str">
        <f>IF(       0.979&lt;0.01,"***",IF(       0.979&lt;0.05,"**",IF(       0.979&lt;0.1,"*","NS")))</f>
        <v>NS</v>
      </c>
      <c r="L54" s="11">
        <v>90.443730736444365</v>
      </c>
      <c r="M54" s="11">
        <v>0.7844195445782336</v>
      </c>
      <c r="N54" s="12" t="str">
        <f>IF(       0.804&lt;0.01,"***",IF(       0.804&lt;0.05,"**",IF(       0.804&lt;0.1,"*","NS")))</f>
        <v>NS</v>
      </c>
      <c r="P54" s="15" t="s">
        <v>8</v>
      </c>
      <c r="Q54" s="11">
        <v>89.670589425030229</v>
      </c>
      <c r="R54" s="11">
        <v>90.443730736444365</v>
      </c>
      <c r="S54" s="11">
        <v>0.773141311414139</v>
      </c>
      <c r="T54" s="12" t="str">
        <f>IF(       0.794&lt;0.01,"***",IF(       0.794&lt;0.05,"**",IF(       0.794&lt;0.1,"*","NS")))</f>
        <v>NS</v>
      </c>
    </row>
    <row r="55" spans="1:20" ht="15.75" customHeight="1">
      <c r="A55" s="15" t="s">
        <v>10</v>
      </c>
      <c r="B55" s="11">
        <v>83.595432207448027</v>
      </c>
      <c r="C55" s="11">
        <v>82.083344671912684</v>
      </c>
      <c r="D55" s="11">
        <v>-1.5120875355353767</v>
      </c>
      <c r="E55" s="12" t="str">
        <f>IF(       0.505&lt;0.01,"***",IF(       0.505&lt;0.05,"**",IF(       0.505&lt;0.1,"*","NS")))</f>
        <v>NS</v>
      </c>
      <c r="G55" s="15" t="s">
        <v>10</v>
      </c>
      <c r="H55" s="11">
        <v>83.595432207448027</v>
      </c>
      <c r="I55" s="11">
        <v>80.154785734383665</v>
      </c>
      <c r="J55" s="11">
        <v>-3.4406464730644535</v>
      </c>
      <c r="K55" s="12" t="str">
        <f>IF(       0.224&lt;0.01,"***",IF(       0.224&lt;0.05,"**",IF(       0.224&lt;0.1,"*","NS")))</f>
        <v>NS</v>
      </c>
      <c r="L55" s="11">
        <v>85.580767434976735</v>
      </c>
      <c r="M55" s="11">
        <v>1.9853352275287206</v>
      </c>
      <c r="N55" s="12" t="str">
        <f>IF(       0.435&lt;0.01,"***",IF(       0.435&lt;0.05,"**",IF(       0.435&lt;0.1,"*","NS")))</f>
        <v>NS</v>
      </c>
      <c r="P55" s="15" t="s">
        <v>10</v>
      </c>
      <c r="Q55" s="11">
        <v>82.771147954449035</v>
      </c>
      <c r="R55" s="11">
        <v>85.580767434976735</v>
      </c>
      <c r="S55" s="11">
        <v>2.8096194805276045</v>
      </c>
      <c r="T55" s="12" t="str">
        <f>IF(       0.251&lt;0.01,"***",IF(       0.251&lt;0.05,"**",IF(       0.251&lt;0.1,"*","NS")))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89</v>
      </c>
      <c r="G1" s="15" t="s">
        <v>90</v>
      </c>
      <c r="P1" s="15" t="s">
        <v>91</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18.40232086500292</v>
      </c>
      <c r="C3" s="11">
        <v>8.8298164884786186</v>
      </c>
      <c r="D3" s="11">
        <v>-9.5725043765241118</v>
      </c>
      <c r="E3" s="12" t="str">
        <f t="shared" ref="E3:E4" si="0">IF(       0&lt;0.01,"***",IF(       0&lt;0.05,"**",IF(       0&lt;0.1,"*","NS")))</f>
        <v>***</v>
      </c>
      <c r="G3" s="15" t="s">
        <v>5</v>
      </c>
      <c r="H3" s="11">
        <v>18.40232086500292</v>
      </c>
      <c r="I3" s="11">
        <v>9.7151563355289561</v>
      </c>
      <c r="J3" s="11">
        <v>-8.6871645294739412</v>
      </c>
      <c r="K3" s="12" t="str">
        <f>IF(       0&lt;0.01,"***",IF(       0&lt;0.05,"**",IF(       0&lt;0.1,"*","NS")))</f>
        <v>***</v>
      </c>
      <c r="L3" s="11">
        <v>7.4889926025693843</v>
      </c>
      <c r="M3" s="11">
        <v>-10.913328262433614</v>
      </c>
      <c r="N3" s="12" t="str">
        <f t="shared" ref="N3:N7" si="1">IF(       0&lt;0.01,"***",IF(       0&lt;0.05,"**",IF(       0&lt;0.1,"*","NS")))</f>
        <v>***</v>
      </c>
      <c r="P3" s="15" t="s">
        <v>5</v>
      </c>
      <c r="Q3" s="11">
        <v>17.602707354067611</v>
      </c>
      <c r="R3" s="11">
        <v>7.4889926025693843</v>
      </c>
      <c r="S3" s="11">
        <v>-10.113714751498586</v>
      </c>
      <c r="T3" s="12" t="str">
        <f t="shared" ref="T3:T7" si="2">IF(       0&lt;0.01,"***",IF(       0&lt;0.05,"**",IF(       0&lt;0.1,"*","NS")))</f>
        <v>***</v>
      </c>
    </row>
    <row r="4" spans="1:20">
      <c r="A4" s="15" t="s">
        <v>6</v>
      </c>
      <c r="B4" s="11">
        <v>21.1033803070573</v>
      </c>
      <c r="C4" s="11">
        <v>10.95867009773518</v>
      </c>
      <c r="D4" s="11">
        <v>-10.144710209321815</v>
      </c>
      <c r="E4" s="12" t="str">
        <f t="shared" si="0"/>
        <v>***</v>
      </c>
      <c r="G4" s="15" t="s">
        <v>6</v>
      </c>
      <c r="H4" s="11">
        <v>21.1033803070573</v>
      </c>
      <c r="I4" s="11">
        <v>14.42876143960928</v>
      </c>
      <c r="J4" s="11">
        <v>-6.6746188674479248</v>
      </c>
      <c r="K4" s="12" t="str">
        <f>IF(       0.006&lt;0.01,"***",IF(       0.006&lt;0.05,"**",IF(       0.006&lt;0.1,"*","NS")))</f>
        <v>***</v>
      </c>
      <c r="L4" s="11">
        <v>2.0968177914658548</v>
      </c>
      <c r="M4" s="11">
        <v>-19.00656251559208</v>
      </c>
      <c r="N4" s="12" t="str">
        <f t="shared" si="1"/>
        <v>***</v>
      </c>
      <c r="P4" s="15" t="s">
        <v>6</v>
      </c>
      <c r="Q4" s="11">
        <v>20.473852874498149</v>
      </c>
      <c r="R4" s="11">
        <v>2.0968177914658548</v>
      </c>
      <c r="S4" s="11">
        <v>-18.377035083032666</v>
      </c>
      <c r="T4" s="12" t="str">
        <f t="shared" si="2"/>
        <v>***</v>
      </c>
    </row>
    <row r="5" spans="1:20">
      <c r="A5" s="15" t="s">
        <v>7</v>
      </c>
      <c r="B5" s="11">
        <v>32.827075758900122</v>
      </c>
      <c r="C5" s="11">
        <v>30.724297253035161</v>
      </c>
      <c r="D5" s="11">
        <v>-2.1027785058649275</v>
      </c>
      <c r="E5" s="12" t="str">
        <f>IF(       0.477&lt;0.01,"***",IF(       0.477&lt;0.05,"**",IF(       0.477&lt;0.1,"*","NS")))</f>
        <v>NS</v>
      </c>
      <c r="G5" s="15" t="s">
        <v>7</v>
      </c>
      <c r="H5" s="11">
        <v>32.827075758900122</v>
      </c>
      <c r="I5" s="11">
        <v>35.138713911185953</v>
      </c>
      <c r="J5" s="11">
        <v>2.3116381522858753</v>
      </c>
      <c r="K5" s="12" t="str">
        <f>IF(       0.529&lt;0.01,"***",IF(       0.529&lt;0.05,"**",IF(       0.529&lt;0.1,"*","NS")))</f>
        <v>NS</v>
      </c>
      <c r="L5" s="11">
        <v>20.425406874024102</v>
      </c>
      <c r="M5" s="11">
        <v>-12.401668884875912</v>
      </c>
      <c r="N5" s="12" t="str">
        <f t="shared" si="1"/>
        <v>***</v>
      </c>
      <c r="P5" s="15" t="s">
        <v>7</v>
      </c>
      <c r="Q5" s="11">
        <v>33.098693012213133</v>
      </c>
      <c r="R5" s="11">
        <v>20.425406874024102</v>
      </c>
      <c r="S5" s="11">
        <v>-12.673286138189079</v>
      </c>
      <c r="T5" s="12" t="str">
        <f t="shared" si="2"/>
        <v>***</v>
      </c>
    </row>
    <row r="6" spans="1:20">
      <c r="A6" s="15" t="s">
        <v>8</v>
      </c>
      <c r="B6" s="11">
        <v>30.48667986021076</v>
      </c>
      <c r="C6" s="11">
        <v>15.62509027971039</v>
      </c>
      <c r="D6" s="11">
        <v>-14.861589580499903</v>
      </c>
      <c r="E6" s="12" t="str">
        <f t="shared" ref="E6:E7" si="3">IF(       0&lt;0.01,"***",IF(       0&lt;0.05,"**",IF(       0&lt;0.1,"*","NS")))</f>
        <v>***</v>
      </c>
      <c r="G6" s="15" t="s">
        <v>8</v>
      </c>
      <c r="H6" s="11">
        <v>30.48667986021076</v>
      </c>
      <c r="I6" s="11">
        <v>16.490765643046991</v>
      </c>
      <c r="J6" s="11">
        <v>-13.995914217163701</v>
      </c>
      <c r="K6" s="12" t="str">
        <f>IF(       0&lt;0.01,"***",IF(       0&lt;0.05,"**",IF(       0&lt;0.1,"*","NS")))</f>
        <v>***</v>
      </c>
      <c r="L6" s="11">
        <v>13.581887682480181</v>
      </c>
      <c r="M6" s="11">
        <v>-16.904792177730215</v>
      </c>
      <c r="N6" s="12" t="str">
        <f t="shared" si="1"/>
        <v>***</v>
      </c>
      <c r="P6" s="15" t="s">
        <v>8</v>
      </c>
      <c r="Q6" s="11">
        <v>29.221528364174191</v>
      </c>
      <c r="R6" s="11">
        <v>13.581887682480181</v>
      </c>
      <c r="S6" s="11">
        <v>-15.639640681694518</v>
      </c>
      <c r="T6" s="12" t="str">
        <f t="shared" si="2"/>
        <v>***</v>
      </c>
    </row>
    <row r="7" spans="1:20">
      <c r="A7" s="15" t="s">
        <v>10</v>
      </c>
      <c r="B7" s="11">
        <v>26.305113072057619</v>
      </c>
      <c r="C7" s="11">
        <v>19.612718673120529</v>
      </c>
      <c r="D7" s="11">
        <v>-6.6923943989370844</v>
      </c>
      <c r="E7" s="12" t="str">
        <f t="shared" si="3"/>
        <v>***</v>
      </c>
      <c r="G7" s="15" t="s">
        <v>10</v>
      </c>
      <c r="H7" s="11">
        <v>26.305113072057619</v>
      </c>
      <c r="I7" s="11">
        <v>22.918680219336188</v>
      </c>
      <c r="J7" s="11">
        <v>-3.3864328527214105</v>
      </c>
      <c r="K7" s="12" t="str">
        <f>IF(       0.108&lt;0.01,"***",IF(       0.108&lt;0.05,"**",IF(       0.108&lt;0.1,"*","NS")))</f>
        <v>NS</v>
      </c>
      <c r="L7" s="11">
        <v>12.749876755386291</v>
      </c>
      <c r="M7" s="11">
        <v>-13.555236316671053</v>
      </c>
      <c r="N7" s="12" t="str">
        <f t="shared" si="1"/>
        <v>***</v>
      </c>
      <c r="P7" s="15" t="s">
        <v>10</v>
      </c>
      <c r="Q7" s="11">
        <v>25.958772149350111</v>
      </c>
      <c r="R7" s="11">
        <v>12.749876755386291</v>
      </c>
      <c r="S7" s="11">
        <v>-13.208895393962521</v>
      </c>
      <c r="T7" s="12" t="str">
        <f t="shared" si="2"/>
        <v>***</v>
      </c>
    </row>
    <row r="9" spans="1:20">
      <c r="A9" s="15" t="s">
        <v>92</v>
      </c>
      <c r="G9" s="15" t="s">
        <v>93</v>
      </c>
      <c r="P9" s="15" t="s">
        <v>94</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16.669907250475951</v>
      </c>
      <c r="C11" s="11">
        <v>9.2280564545596082</v>
      </c>
      <c r="D11" s="11">
        <v>-7.4418507959162579</v>
      </c>
      <c r="E11" s="12" t="str">
        <f>IF(       0&lt;0.01,"***",IF(       0&lt;0.05,"**",IF(       0&lt;0.1,"*","NS")))</f>
        <v>***</v>
      </c>
      <c r="G11" s="15" t="s">
        <v>5</v>
      </c>
      <c r="H11" s="11">
        <v>16.669907250475951</v>
      </c>
      <c r="I11" s="11">
        <v>10.52752488980636</v>
      </c>
      <c r="J11" s="11">
        <v>-6.1423823606697345</v>
      </c>
      <c r="K11" s="12" t="str">
        <f>IF(       0.004&lt;0.01,"***",IF(       0.004&lt;0.05,"**",IF(       0.004&lt;0.1,"*","NS")))</f>
        <v>***</v>
      </c>
      <c r="L11" s="11">
        <v>7.2263634579080556</v>
      </c>
      <c r="M11" s="11">
        <v>-9.4435437925683559</v>
      </c>
      <c r="N11" s="12" t="str">
        <f t="shared" ref="N11:N12" si="4">IF(       0&lt;0.01,"***",IF(       0&lt;0.05,"**",IF(       0&lt;0.1,"*","NS")))</f>
        <v>***</v>
      </c>
      <c r="P11" s="15" t="s">
        <v>5</v>
      </c>
      <c r="Q11" s="11">
        <v>16.1104861576862</v>
      </c>
      <c r="R11" s="11">
        <v>7.2263634579080556</v>
      </c>
      <c r="S11" s="11">
        <v>-8.8841226997780858</v>
      </c>
      <c r="T11" s="12" t="str">
        <f t="shared" ref="T11:T12" si="5">IF(       0&lt;0.01,"***",IF(       0&lt;0.05,"**",IF(       0&lt;0.1,"*","NS")))</f>
        <v>***</v>
      </c>
    </row>
    <row r="12" spans="1:20">
      <c r="A12" s="15" t="s">
        <v>6</v>
      </c>
      <c r="B12" s="11">
        <v>20.129259822778721</v>
      </c>
      <c r="C12" s="11">
        <v>11.966606196192529</v>
      </c>
      <c r="D12" s="11">
        <v>-8.1626536265861507</v>
      </c>
      <c r="E12" s="12" t="str">
        <f>IF(       0.004&lt;0.01,"***",IF(       0.004&lt;0.05,"**",IF(       0.004&lt;0.1,"*","NS")))</f>
        <v>***</v>
      </c>
      <c r="G12" s="15" t="s">
        <v>6</v>
      </c>
      <c r="H12" s="11">
        <v>20.129259822778721</v>
      </c>
      <c r="I12" s="11">
        <v>15.77308995419771</v>
      </c>
      <c r="J12" s="11">
        <v>-4.3561698685810608</v>
      </c>
      <c r="K12" s="12" t="str">
        <f>IF(       0.236&lt;0.01,"***",IF(       0.236&lt;0.05,"**",IF(       0.236&lt;0.1,"*","NS")))</f>
        <v>NS</v>
      </c>
      <c r="L12" s="11">
        <v>1.585203024423123</v>
      </c>
      <c r="M12" s="11">
        <v>-18.544056798355882</v>
      </c>
      <c r="N12" s="12" t="str">
        <f t="shared" si="4"/>
        <v>***</v>
      </c>
      <c r="P12" s="15" t="s">
        <v>6</v>
      </c>
      <c r="Q12" s="11">
        <v>19.734168305634089</v>
      </c>
      <c r="R12" s="11">
        <v>1.585203024423123</v>
      </c>
      <c r="S12" s="11">
        <v>-18.14896528121098</v>
      </c>
      <c r="T12" s="12" t="str">
        <f t="shared" si="5"/>
        <v>***</v>
      </c>
    </row>
    <row r="13" spans="1:20">
      <c r="A13" s="15" t="s">
        <v>7</v>
      </c>
      <c r="B13" s="11">
        <v>31.425928657709761</v>
      </c>
      <c r="C13" s="11">
        <v>30.675259057069951</v>
      </c>
      <c r="D13" s="11">
        <v>-0.7506696006398208</v>
      </c>
      <c r="E13" s="12" t="str">
        <f>IF(       0.823&lt;0.01,"***",IF(       0.823&lt;0.05,"**",IF(       0.823&lt;0.1,"*","NS")))</f>
        <v>NS</v>
      </c>
      <c r="G13" s="15" t="s">
        <v>7</v>
      </c>
      <c r="H13" s="11">
        <v>31.425928657709761</v>
      </c>
      <c r="I13" s="11">
        <v>33.004739219790558</v>
      </c>
      <c r="J13" s="11">
        <v>1.5788105620807509</v>
      </c>
      <c r="K13" s="12" t="str">
        <f>IF(       0.69&lt;0.01,"***",IF(       0.69&lt;0.05,"**",IF(       0.69&lt;0.1,"*","NS")))</f>
        <v>NS</v>
      </c>
      <c r="L13" s="11">
        <v>24.79897217043159</v>
      </c>
      <c r="M13" s="11">
        <v>-6.6269564872780959</v>
      </c>
      <c r="N13" s="12" t="str">
        <f>IF(       0.161&lt;0.01,"***",IF(       0.161&lt;0.05,"**",IF(       0.161&lt;0.1,"*","NS")))</f>
        <v>NS</v>
      </c>
      <c r="P13" s="15" t="s">
        <v>7</v>
      </c>
      <c r="Q13" s="11">
        <v>31.643572695501518</v>
      </c>
      <c r="R13" s="11">
        <v>24.79897217043159</v>
      </c>
      <c r="S13" s="11">
        <v>-6.8446005250699624</v>
      </c>
      <c r="T13" s="12" t="str">
        <f>IF(       0.144&lt;0.01,"***",IF(       0.144&lt;0.05,"**",IF(       0.144&lt;0.1,"*","NS")))</f>
        <v>NS</v>
      </c>
    </row>
    <row r="14" spans="1:20">
      <c r="A14" s="15" t="s">
        <v>8</v>
      </c>
      <c r="B14" s="11">
        <v>25.317914765397621</v>
      </c>
      <c r="C14" s="11">
        <v>10.30957665514511</v>
      </c>
      <c r="D14" s="11">
        <v>-15.008338110252231</v>
      </c>
      <c r="E14" s="12" t="str">
        <f>IF(       0&lt;0.01,"***",IF(       0&lt;0.05,"**",IF(       0&lt;0.1,"*","NS")))</f>
        <v>***</v>
      </c>
      <c r="G14" s="15" t="s">
        <v>8</v>
      </c>
      <c r="H14" s="11">
        <v>25.317914765397621</v>
      </c>
      <c r="I14" s="11">
        <v>11.40878300355965</v>
      </c>
      <c r="J14" s="11">
        <v>-13.909131761838147</v>
      </c>
      <c r="K14" s="12" t="str">
        <f>IF(       0&lt;0.01,"***",IF(       0&lt;0.05,"**",IF(       0&lt;0.1,"*","NS")))</f>
        <v>***</v>
      </c>
      <c r="L14" s="11">
        <v>7.5163935048704209</v>
      </c>
      <c r="M14" s="11">
        <v>-17.801521260527728</v>
      </c>
      <c r="N14" s="12" t="str">
        <f t="shared" ref="N14:N15" si="6">IF(       0&lt;0.01,"***",IF(       0&lt;0.05,"**",IF(       0&lt;0.1,"*","NS")))</f>
        <v>***</v>
      </c>
      <c r="P14" s="15" t="s">
        <v>8</v>
      </c>
      <c r="Q14" s="11">
        <v>24.054787827930522</v>
      </c>
      <c r="R14" s="11">
        <v>7.5163935048704209</v>
      </c>
      <c r="S14" s="11">
        <v>-16.538394323059766</v>
      </c>
      <c r="T14" s="12" t="str">
        <f t="shared" ref="T14:T15" si="7">IF(       0&lt;0.01,"***",IF(       0&lt;0.05,"**",IF(       0&lt;0.1,"*","NS")))</f>
        <v>***</v>
      </c>
    </row>
    <row r="15" spans="1:20">
      <c r="A15" s="15" t="s">
        <v>10</v>
      </c>
      <c r="B15" s="11">
        <v>24.042650032813871</v>
      </c>
      <c r="C15" s="11">
        <v>19.768487099772202</v>
      </c>
      <c r="D15" s="11">
        <v>-4.2741629330417075</v>
      </c>
      <c r="E15" s="12" t="str">
        <f>IF(       0.018&lt;0.01,"***",IF(       0.018&lt;0.05,"**",IF(       0.018&lt;0.1,"*","NS")))</f>
        <v>**</v>
      </c>
      <c r="G15" s="15" t="s">
        <v>10</v>
      </c>
      <c r="H15" s="11">
        <v>24.042650032813871</v>
      </c>
      <c r="I15" s="11">
        <v>22.359025141046249</v>
      </c>
      <c r="J15" s="11">
        <v>-1.6836248917675292</v>
      </c>
      <c r="K15" s="12" t="str">
        <f>IF(       0.449&lt;0.01,"***",IF(       0.449&lt;0.05,"**",IF(       0.449&lt;0.1,"*","NS")))</f>
        <v>NS</v>
      </c>
      <c r="L15" s="11">
        <v>14.07451438469093</v>
      </c>
      <c r="M15" s="11">
        <v>-9.9681356481230559</v>
      </c>
      <c r="N15" s="12" t="str">
        <f t="shared" si="6"/>
        <v>***</v>
      </c>
      <c r="P15" s="15" t="s">
        <v>10</v>
      </c>
      <c r="Q15" s="11">
        <v>23.859080671137502</v>
      </c>
      <c r="R15" s="11">
        <v>14.07451438469093</v>
      </c>
      <c r="S15" s="11">
        <v>-9.7845662864471343</v>
      </c>
      <c r="T15" s="12" t="str">
        <f t="shared" si="7"/>
        <v>***</v>
      </c>
    </row>
    <row r="17" spans="1:20">
      <c r="A17" s="15" t="s">
        <v>95</v>
      </c>
      <c r="G17" s="15" t="s">
        <v>96</v>
      </c>
      <c r="P17" s="15" t="s">
        <v>97</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20.988927874630601</v>
      </c>
      <c r="C19" s="11">
        <v>8.2614925397275165</v>
      </c>
      <c r="D19" s="11">
        <v>-12.72743533490328</v>
      </c>
      <c r="E19" s="12" t="str">
        <f t="shared" ref="E19:E20" si="8">IF(       0&lt;0.01,"***",IF(       0&lt;0.05,"**",IF(       0&lt;0.1,"*","NS")))</f>
        <v>***</v>
      </c>
      <c r="G19" s="15" t="s">
        <v>5</v>
      </c>
      <c r="H19" s="11">
        <v>20.988927874630601</v>
      </c>
      <c r="I19" s="11">
        <v>8.5366932271186187</v>
      </c>
      <c r="J19" s="11">
        <v>-12.452234647512112</v>
      </c>
      <c r="K19" s="12" t="str">
        <f t="shared" ref="K19:K20" si="9">IF(       0&lt;0.01,"***",IF(       0&lt;0.05,"**",IF(       0&lt;0.1,"*","NS")))</f>
        <v>***</v>
      </c>
      <c r="L19" s="11">
        <v>7.8546396018910256</v>
      </c>
      <c r="M19" s="11">
        <v>-13.134288272739711</v>
      </c>
      <c r="N19" s="12" t="str">
        <f t="shared" ref="N19:N23" si="10">IF(       0&lt;0.01,"***",IF(       0&lt;0.05,"**",IF(       0&lt;0.1,"*","NS")))</f>
        <v>***</v>
      </c>
      <c r="P19" s="15" t="s">
        <v>5</v>
      </c>
      <c r="Q19" s="11">
        <v>19.82477420063616</v>
      </c>
      <c r="R19" s="11">
        <v>7.8546396018910256</v>
      </c>
      <c r="S19" s="11">
        <v>-11.970134598745231</v>
      </c>
      <c r="T19" s="12" t="str">
        <f>IF(       0.001&lt;0.01,"***",IF(       0.001&lt;0.05,"**",IF(       0.001&lt;0.1,"*","NS")))</f>
        <v>***</v>
      </c>
    </row>
    <row r="20" spans="1:20">
      <c r="A20" s="15" t="s">
        <v>6</v>
      </c>
      <c r="B20" s="11">
        <v>22.483180814703019</v>
      </c>
      <c r="C20" s="11">
        <v>9.7198547816988494</v>
      </c>
      <c r="D20" s="11">
        <v>-12.763326033004159</v>
      </c>
      <c r="E20" s="12" t="str">
        <f t="shared" si="8"/>
        <v>***</v>
      </c>
      <c r="G20" s="15" t="s">
        <v>6</v>
      </c>
      <c r="H20" s="11">
        <v>22.483180814703019</v>
      </c>
      <c r="I20" s="11">
        <v>12.70782414771331</v>
      </c>
      <c r="J20" s="11">
        <v>-9.7753566669895591</v>
      </c>
      <c r="K20" s="12" t="str">
        <f t="shared" si="9"/>
        <v>***</v>
      </c>
      <c r="L20" s="11">
        <v>2.663905143985819</v>
      </c>
      <c r="M20" s="11">
        <v>-19.819275670717477</v>
      </c>
      <c r="N20" s="12" t="str">
        <f t="shared" si="10"/>
        <v>***</v>
      </c>
      <c r="P20" s="15" t="s">
        <v>6</v>
      </c>
      <c r="Q20" s="11">
        <v>21.51156311284878</v>
      </c>
      <c r="R20" s="11">
        <v>2.663905143985819</v>
      </c>
      <c r="S20" s="11">
        <v>-18.847657968863043</v>
      </c>
      <c r="T20" s="12" t="str">
        <f t="shared" ref="T20:T23" si="11">IF(       0&lt;0.01,"***",IF(       0&lt;0.05,"**",IF(       0&lt;0.1,"*","NS")))</f>
        <v>***</v>
      </c>
    </row>
    <row r="21" spans="1:20" ht="15.75" customHeight="1">
      <c r="A21" s="15" t="s">
        <v>7</v>
      </c>
      <c r="B21" s="11">
        <v>34.493801895291263</v>
      </c>
      <c r="C21" s="11">
        <v>30.81062222923434</v>
      </c>
      <c r="D21" s="11">
        <v>-3.6831796660569984</v>
      </c>
      <c r="E21" s="12" t="str">
        <f>IF(       0.405&lt;0.01,"***",IF(       0.405&lt;0.05,"**",IF(       0.405&lt;0.1,"*","NS")))</f>
        <v>NS</v>
      </c>
      <c r="G21" s="15" t="s">
        <v>7</v>
      </c>
      <c r="H21" s="11">
        <v>34.493801895291263</v>
      </c>
      <c r="I21" s="11">
        <v>39.144587822226448</v>
      </c>
      <c r="J21" s="11">
        <v>4.6507859269352467</v>
      </c>
      <c r="K21" s="12" t="str">
        <f>IF(       0.399&lt;0.01,"***",IF(       0.399&lt;0.05,"**",IF(       0.399&lt;0.1,"*","NS")))</f>
        <v>NS</v>
      </c>
      <c r="L21" s="11">
        <v>13.77103622242254</v>
      </c>
      <c r="M21" s="11">
        <v>-20.722765672868753</v>
      </c>
      <c r="N21" s="12" t="str">
        <f t="shared" si="10"/>
        <v>***</v>
      </c>
      <c r="P21" s="15" t="s">
        <v>7</v>
      </c>
      <c r="Q21" s="11">
        <v>34.921679602148451</v>
      </c>
      <c r="R21" s="11">
        <v>13.77103622242254</v>
      </c>
      <c r="S21" s="11">
        <v>-21.150643379726127</v>
      </c>
      <c r="T21" s="12" t="str">
        <f t="shared" si="11"/>
        <v>***</v>
      </c>
    </row>
    <row r="22" spans="1:20" ht="15.75" customHeight="1">
      <c r="A22" s="15" t="s">
        <v>8</v>
      </c>
      <c r="B22" s="11">
        <v>36.622424993730533</v>
      </c>
      <c r="C22" s="11">
        <v>21.715736309823679</v>
      </c>
      <c r="D22" s="11">
        <v>-14.906688683906712</v>
      </c>
      <c r="E22" s="12" t="str">
        <f t="shared" ref="E22:E23" si="12">IF(       0&lt;0.01,"***",IF(       0&lt;0.05,"**",IF(       0&lt;0.1,"*","NS")))</f>
        <v>***</v>
      </c>
      <c r="G22" s="15" t="s">
        <v>8</v>
      </c>
      <c r="H22" s="11">
        <v>36.622424993730533</v>
      </c>
      <c r="I22" s="11">
        <v>22.591077282140219</v>
      </c>
      <c r="J22" s="11">
        <v>-14.031347711590355</v>
      </c>
      <c r="K22" s="12" t="str">
        <f>IF(       0&lt;0.01,"***",IF(       0&lt;0.05,"**",IF(       0&lt;0.1,"*","NS")))</f>
        <v>***</v>
      </c>
      <c r="L22" s="11">
        <v>19.812330729614541</v>
      </c>
      <c r="M22" s="11">
        <v>-16.810094264116085</v>
      </c>
      <c r="N22" s="12" t="str">
        <f t="shared" si="10"/>
        <v>***</v>
      </c>
      <c r="P22" s="15" t="s">
        <v>8</v>
      </c>
      <c r="Q22" s="11">
        <v>35.361047150684193</v>
      </c>
      <c r="R22" s="11">
        <v>19.812330729614541</v>
      </c>
      <c r="S22" s="11">
        <v>-15.548716421069646</v>
      </c>
      <c r="T22" s="12" t="str">
        <f t="shared" si="11"/>
        <v>***</v>
      </c>
    </row>
    <row r="23" spans="1:20" ht="15.75" customHeight="1">
      <c r="A23" s="15" t="s">
        <v>10</v>
      </c>
      <c r="B23" s="11">
        <v>29.262835614263949</v>
      </c>
      <c r="C23" s="11">
        <v>19.38135911036429</v>
      </c>
      <c r="D23" s="11">
        <v>-9.881476503899453</v>
      </c>
      <c r="E23" s="12" t="str">
        <f t="shared" si="12"/>
        <v>***</v>
      </c>
      <c r="G23" s="15" t="s">
        <v>10</v>
      </c>
      <c r="H23" s="11">
        <v>29.262835614263949</v>
      </c>
      <c r="I23" s="11">
        <v>23.788983638186028</v>
      </c>
      <c r="J23" s="11">
        <v>-5.4738519760778548</v>
      </c>
      <c r="K23" s="12" t="str">
        <f>IF(       0.072&lt;0.01,"***",IF(       0.072&lt;0.05,"**",IF(       0.072&lt;0.1,"*","NS")))</f>
        <v>*</v>
      </c>
      <c r="L23" s="11">
        <v>10.95907653978233</v>
      </c>
      <c r="M23" s="11">
        <v>-18.303759074481018</v>
      </c>
      <c r="N23" s="12" t="str">
        <f t="shared" si="10"/>
        <v>***</v>
      </c>
      <c r="P23" s="15" t="s">
        <v>10</v>
      </c>
      <c r="Q23" s="11">
        <v>28.752231272706929</v>
      </c>
      <c r="R23" s="11">
        <v>10.95907653978233</v>
      </c>
      <c r="S23" s="11">
        <v>-17.793154732924126</v>
      </c>
      <c r="T23" s="12" t="str">
        <f t="shared" si="11"/>
        <v>***</v>
      </c>
    </row>
    <row r="24" spans="1:20" ht="15.75" customHeight="1"/>
    <row r="25" spans="1:20" ht="15.75" customHeight="1">
      <c r="A25" s="15" t="s">
        <v>98</v>
      </c>
      <c r="G25" s="15" t="s">
        <v>99</v>
      </c>
      <c r="P25" s="15" t="s">
        <v>100</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15.47044982944657</v>
      </c>
      <c r="C27" s="11">
        <v>6.2381849042586577</v>
      </c>
      <c r="D27" s="11">
        <v>-9.2322649251880069</v>
      </c>
      <c r="E27" s="12" t="str">
        <f t="shared" ref="E27:E31" si="13">IF(       0&lt;0.01,"***",IF(       0&lt;0.05,"**",IF(       0&lt;0.1,"*","NS")))</f>
        <v>***</v>
      </c>
      <c r="G27" s="15" t="s">
        <v>5</v>
      </c>
      <c r="H27" s="11">
        <v>15.47044982944657</v>
      </c>
      <c r="I27" s="11">
        <v>6.6994531956724552</v>
      </c>
      <c r="J27" s="11">
        <v>-8.7709966337736986</v>
      </c>
      <c r="K27" s="12" t="str">
        <f t="shared" ref="K27:K28" si="14">IF(       0&lt;0.01,"***",IF(       0&lt;0.05,"**",IF(       0&lt;0.1,"*","NS")))</f>
        <v>***</v>
      </c>
      <c r="L27" s="11">
        <v>5.5542748705514748</v>
      </c>
      <c r="M27" s="11">
        <v>-9.9161749588946257</v>
      </c>
      <c r="N27" s="12" t="str">
        <f t="shared" ref="N27:N31" si="15">IF(       0&lt;0.01,"***",IF(       0&lt;0.05,"**",IF(       0&lt;0.1,"*","NS")))</f>
        <v>***</v>
      </c>
      <c r="P27" s="15" t="s">
        <v>5</v>
      </c>
      <c r="Q27" s="11">
        <v>14.67288330602965</v>
      </c>
      <c r="R27" s="11">
        <v>5.5542748705514748</v>
      </c>
      <c r="S27" s="11">
        <v>-9.1186084354790644</v>
      </c>
      <c r="T27" s="12" t="str">
        <f t="shared" ref="T27:T31" si="16">IF(       0&lt;0.01,"***",IF(       0&lt;0.05,"**",IF(       0&lt;0.1,"*","NS")))</f>
        <v>***</v>
      </c>
    </row>
    <row r="28" spans="1:20" ht="15.75" customHeight="1">
      <c r="A28" s="15" t="s">
        <v>6</v>
      </c>
      <c r="B28" s="11">
        <v>15.70751533853057</v>
      </c>
      <c r="C28" s="11">
        <v>4.0526390723917132</v>
      </c>
      <c r="D28" s="11">
        <v>-11.654876266138752</v>
      </c>
      <c r="E28" s="12" t="str">
        <f t="shared" si="13"/>
        <v>***</v>
      </c>
      <c r="G28" s="15" t="s">
        <v>6</v>
      </c>
      <c r="H28" s="11">
        <v>15.70751533853057</v>
      </c>
      <c r="I28" s="11">
        <v>5.6174989196768346</v>
      </c>
      <c r="J28" s="11">
        <v>-10.090016418854029</v>
      </c>
      <c r="K28" s="12" t="str">
        <f t="shared" si="14"/>
        <v>***</v>
      </c>
      <c r="L28" s="11">
        <v>0.51784199357271177</v>
      </c>
      <c r="M28" s="11">
        <v>-15.189673344957724</v>
      </c>
      <c r="N28" s="12" t="str">
        <f t="shared" si="15"/>
        <v>***</v>
      </c>
      <c r="P28" s="15" t="s">
        <v>6</v>
      </c>
      <c r="Q28" s="11">
        <v>14.798813511954201</v>
      </c>
      <c r="R28" s="11">
        <v>0.51784199357271177</v>
      </c>
      <c r="S28" s="11">
        <v>-14.280971518381664</v>
      </c>
      <c r="T28" s="12" t="str">
        <f t="shared" si="16"/>
        <v>***</v>
      </c>
    </row>
    <row r="29" spans="1:20" ht="15.75" customHeight="1">
      <c r="A29" s="15" t="s">
        <v>7</v>
      </c>
      <c r="B29" s="11">
        <v>28.65212527878742</v>
      </c>
      <c r="C29" s="11">
        <v>9.6396723743353405</v>
      </c>
      <c r="D29" s="11">
        <v>-19.012452904452314</v>
      </c>
      <c r="E29" s="12" t="str">
        <f t="shared" si="13"/>
        <v>***</v>
      </c>
      <c r="G29" s="15" t="s">
        <v>7</v>
      </c>
      <c r="H29" s="11">
        <v>28.65212527878742</v>
      </c>
      <c r="I29" s="11">
        <v>12.48923555099193</v>
      </c>
      <c r="J29" s="11">
        <v>-16.162889727795303</v>
      </c>
      <c r="K29" s="12" t="str">
        <f>IF(       0.001&lt;0.01,"***",IF(       0.001&lt;0.05,"**",IF(       0.001&lt;0.1,"*","NS")))</f>
        <v>***</v>
      </c>
      <c r="L29" s="11">
        <v>4.3444489983121626</v>
      </c>
      <c r="M29" s="11">
        <v>-24.307676280475423</v>
      </c>
      <c r="N29" s="12" t="str">
        <f t="shared" si="15"/>
        <v>***</v>
      </c>
      <c r="P29" s="15" t="s">
        <v>7</v>
      </c>
      <c r="Q29" s="11">
        <v>26.851610826799021</v>
      </c>
      <c r="R29" s="11">
        <v>4.3444489983121626</v>
      </c>
      <c r="S29" s="11">
        <v>-22.507161828487153</v>
      </c>
      <c r="T29" s="12" t="str">
        <f t="shared" si="16"/>
        <v>***</v>
      </c>
    </row>
    <row r="30" spans="1:20" ht="15.75" customHeight="1">
      <c r="A30" s="15" t="s">
        <v>8</v>
      </c>
      <c r="B30" s="11">
        <v>25.587826066391361</v>
      </c>
      <c r="C30" s="11">
        <v>10.79737603629996</v>
      </c>
      <c r="D30" s="11">
        <v>-14.790450030091444</v>
      </c>
      <c r="E30" s="12" t="str">
        <f t="shared" si="13"/>
        <v>***</v>
      </c>
      <c r="G30" s="15" t="s">
        <v>8</v>
      </c>
      <c r="H30" s="11">
        <v>25.587826066391361</v>
      </c>
      <c r="I30" s="11">
        <v>12.815973963637481</v>
      </c>
      <c r="J30" s="11">
        <v>-12.771852102753661</v>
      </c>
      <c r="K30" s="12" t="str">
        <f t="shared" ref="K30:K31" si="17">IF(       0&lt;0.01,"***",IF(       0&lt;0.05,"**",IF(       0&lt;0.1,"*","NS")))</f>
        <v>***</v>
      </c>
      <c r="L30" s="11">
        <v>5.9364990910105879</v>
      </c>
      <c r="M30" s="11">
        <v>-19.651326975381064</v>
      </c>
      <c r="N30" s="12" t="str">
        <f t="shared" si="15"/>
        <v>***</v>
      </c>
      <c r="P30" s="15" t="s">
        <v>8</v>
      </c>
      <c r="Q30" s="11">
        <v>24.407412150792251</v>
      </c>
      <c r="R30" s="11">
        <v>5.9364990910105879</v>
      </c>
      <c r="S30" s="11">
        <v>-18.470913059781481</v>
      </c>
      <c r="T30" s="12" t="str">
        <f t="shared" si="16"/>
        <v>***</v>
      </c>
    </row>
    <row r="31" spans="1:20" ht="15.75" customHeight="1">
      <c r="A31" s="15" t="s">
        <v>10</v>
      </c>
      <c r="B31" s="11">
        <v>19.307039782369909</v>
      </c>
      <c r="C31" s="11">
        <v>7.1586622572545364</v>
      </c>
      <c r="D31" s="11">
        <v>-12.148377525114933</v>
      </c>
      <c r="E31" s="12" t="str">
        <f t="shared" si="13"/>
        <v>***</v>
      </c>
      <c r="G31" s="15" t="s">
        <v>10</v>
      </c>
      <c r="H31" s="11">
        <v>19.307039782369909</v>
      </c>
      <c r="I31" s="11">
        <v>8.6021470377565272</v>
      </c>
      <c r="J31" s="11">
        <v>-10.704892744613225</v>
      </c>
      <c r="K31" s="12" t="str">
        <f t="shared" si="17"/>
        <v>***</v>
      </c>
      <c r="L31" s="11">
        <v>4.540648150611684</v>
      </c>
      <c r="M31" s="11">
        <v>-14.766391631757717</v>
      </c>
      <c r="N31" s="12" t="str">
        <f t="shared" si="15"/>
        <v>***</v>
      </c>
      <c r="P31" s="15" t="s">
        <v>10</v>
      </c>
      <c r="Q31" s="11">
        <v>18.302493972004928</v>
      </c>
      <c r="R31" s="11">
        <v>4.540648150611684</v>
      </c>
      <c r="S31" s="11">
        <v>-13.761845821393477</v>
      </c>
      <c r="T31" s="12" t="str">
        <f t="shared" si="16"/>
        <v>***</v>
      </c>
    </row>
    <row r="32" spans="1:20" ht="15.75" customHeight="1"/>
    <row r="33" spans="1:20" ht="15.75" customHeight="1">
      <c r="A33" s="15" t="s">
        <v>101</v>
      </c>
      <c r="G33" s="15" t="s">
        <v>102</v>
      </c>
      <c r="P33" s="15" t="s">
        <v>103</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30.180702463362181</v>
      </c>
      <c r="C35" s="11">
        <v>18.99097914365149</v>
      </c>
      <c r="D35" s="11">
        <v>-11.189723319710474</v>
      </c>
      <c r="E35" s="12" t="str">
        <f>IF(       0.001&lt;0.01,"***",IF(       0.001&lt;0.05,"**",IF(       0.001&lt;0.1,"*","NS")))</f>
        <v>***</v>
      </c>
      <c r="G35" s="15" t="s">
        <v>5</v>
      </c>
      <c r="H35" s="11">
        <v>30.180702463362181</v>
      </c>
      <c r="I35" s="11">
        <v>21.062704030046081</v>
      </c>
      <c r="J35" s="11">
        <v>-9.1179984333159023</v>
      </c>
      <c r="K35" s="12" t="str">
        <f>IF(       0.018&lt;0.01,"***",IF(       0.018&lt;0.05,"**",IF(       0.018&lt;0.1,"*","NS")))</f>
        <v>**</v>
      </c>
      <c r="L35" s="11">
        <v>15.577955704900329</v>
      </c>
      <c r="M35" s="11">
        <v>-14.602746758461658</v>
      </c>
      <c r="N35" s="12" t="str">
        <f t="shared" ref="N35:N36" si="18">IF(       0&lt;0.01,"***",IF(       0&lt;0.05,"**",IF(       0&lt;0.1,"*","NS")))</f>
        <v>***</v>
      </c>
      <c r="P35" s="15" t="s">
        <v>5</v>
      </c>
      <c r="Q35" s="11">
        <v>29.300907323141399</v>
      </c>
      <c r="R35" s="11">
        <v>15.577955704900329</v>
      </c>
      <c r="S35" s="11">
        <v>-13.72295161824125</v>
      </c>
      <c r="T35" s="12" t="str">
        <f t="shared" ref="T35:T36" si="19">IF(       0&lt;0.01,"***",IF(       0&lt;0.05,"**",IF(       0&lt;0.1,"*","NS")))</f>
        <v>***</v>
      </c>
    </row>
    <row r="36" spans="1:20" ht="15.75" customHeight="1">
      <c r="A36" s="15" t="s">
        <v>6</v>
      </c>
      <c r="B36" s="11">
        <v>33.582786809774028</v>
      </c>
      <c r="C36" s="11">
        <v>26.17915808865332</v>
      </c>
      <c r="D36" s="11">
        <v>-7.4036287211206586</v>
      </c>
      <c r="E36" s="12" t="str">
        <f>IF(       0.033&lt;0.01,"***",IF(       0.033&lt;0.05,"**",IF(       0.033&lt;0.1,"*","NS")))</f>
        <v>**</v>
      </c>
      <c r="G36" s="15" t="s">
        <v>6</v>
      </c>
      <c r="H36" s="11">
        <v>33.582786809774028</v>
      </c>
      <c r="I36" s="11">
        <v>31.803135630143139</v>
      </c>
      <c r="J36" s="11">
        <v>-1.7796511796308414</v>
      </c>
      <c r="K36" s="12" t="str">
        <f>IF(       0.65&lt;0.01,"***",IF(       0.65&lt;0.05,"**",IF(       0.65&lt;0.1,"*","NS")))</f>
        <v>NS</v>
      </c>
      <c r="L36" s="11">
        <v>6.8372084484667441</v>
      </c>
      <c r="M36" s="11">
        <v>-26.745578361307441</v>
      </c>
      <c r="N36" s="12" t="str">
        <f t="shared" si="18"/>
        <v>***</v>
      </c>
      <c r="P36" s="15" t="s">
        <v>6</v>
      </c>
      <c r="Q36" s="11">
        <v>33.397682836035308</v>
      </c>
      <c r="R36" s="11">
        <v>6.8372084484667441</v>
      </c>
      <c r="S36" s="11">
        <v>-26.560474387568409</v>
      </c>
      <c r="T36" s="12" t="str">
        <f t="shared" si="19"/>
        <v>***</v>
      </c>
    </row>
    <row r="37" spans="1:20" ht="15.75" customHeight="1">
      <c r="A37" s="15" t="s">
        <v>7</v>
      </c>
      <c r="B37" s="11">
        <v>33.753594972049768</v>
      </c>
      <c r="C37" s="11">
        <v>35.482222985214023</v>
      </c>
      <c r="D37" s="11">
        <v>1.7286280131642713</v>
      </c>
      <c r="E37" s="12" t="str">
        <f>IF(       0.611&lt;0.01,"***",IF(       0.611&lt;0.05,"**",IF(       0.611&lt;0.1,"*","NS")))</f>
        <v>NS</v>
      </c>
      <c r="G37" s="15" t="s">
        <v>7</v>
      </c>
      <c r="H37" s="11">
        <v>33.753594972049768</v>
      </c>
      <c r="I37" s="11">
        <v>39.81081882455954</v>
      </c>
      <c r="J37" s="11">
        <v>6.0572238525097744</v>
      </c>
      <c r="K37" s="12" t="str">
        <f>IF(       0.143&lt;0.01,"***",IF(       0.143&lt;0.05,"**",IF(       0.143&lt;0.1,"*","NS")))</f>
        <v>NS</v>
      </c>
      <c r="L37" s="11">
        <v>24.821736787684149</v>
      </c>
      <c r="M37" s="11">
        <v>-8.9318581843656712</v>
      </c>
      <c r="N37" s="12" t="str">
        <f>IF(       0.022&lt;0.01,"***",IF(       0.022&lt;0.05,"**",IF(       0.022&lt;0.1,"*","NS")))</f>
        <v>**</v>
      </c>
      <c r="P37" s="15" t="s">
        <v>7</v>
      </c>
      <c r="Q37" s="11">
        <v>34.473451800055322</v>
      </c>
      <c r="R37" s="11">
        <v>24.821736787684149</v>
      </c>
      <c r="S37" s="11">
        <v>-9.6517150123711541</v>
      </c>
      <c r="T37" s="12" t="str">
        <f>IF(       0.015&lt;0.01,"***",IF(       0.015&lt;0.05,"**",IF(       0.015&lt;0.1,"*","NS")))</f>
        <v>**</v>
      </c>
    </row>
    <row r="38" spans="1:20" ht="15.75" customHeight="1">
      <c r="A38" s="15" t="s">
        <v>8</v>
      </c>
      <c r="B38" s="11">
        <v>41.51320567506837</v>
      </c>
      <c r="C38" s="11">
        <v>27.180116604279409</v>
      </c>
      <c r="D38" s="11">
        <v>-14.333089070788589</v>
      </c>
      <c r="E38" s="12" t="str">
        <f>IF(       0.001&lt;0.01,"***",IF(       0.001&lt;0.05,"**",IF(       0.001&lt;0.1,"*","NS")))</f>
        <v>***</v>
      </c>
      <c r="G38" s="15" t="s">
        <v>8</v>
      </c>
      <c r="H38" s="11">
        <v>41.51320567506837</v>
      </c>
      <c r="I38" s="11">
        <v>25.466242920135031</v>
      </c>
      <c r="J38" s="11">
        <v>-16.046962754933691</v>
      </c>
      <c r="K38" s="12" t="str">
        <f>IF(       0&lt;0.01,"***",IF(       0&lt;0.05,"**",IF(       0&lt;0.1,"*","NS")))</f>
        <v>***</v>
      </c>
      <c r="L38" s="11">
        <v>31.03820131319673</v>
      </c>
      <c r="M38" s="11">
        <v>-10.47500436187188</v>
      </c>
      <c r="N38" s="12" t="str">
        <f>IF(       0.058&lt;0.01,"***",IF(       0.058&lt;0.05,"**",IF(       0.058&lt;0.1,"*","NS")))</f>
        <v>*</v>
      </c>
      <c r="P38" s="15" t="s">
        <v>8</v>
      </c>
      <c r="Q38" s="11">
        <v>40.136462291063161</v>
      </c>
      <c r="R38" s="11">
        <v>31.03820131319673</v>
      </c>
      <c r="S38" s="11">
        <v>-9.0982609778664827</v>
      </c>
      <c r="T38" s="12" t="str">
        <f>IF(       0.087&lt;0.01,"***",IF(       0.087&lt;0.05,"**",IF(       0.087&lt;0.1,"*","NS")))</f>
        <v>*</v>
      </c>
    </row>
    <row r="39" spans="1:20" ht="15.75" customHeight="1">
      <c r="A39" s="15" t="s">
        <v>10</v>
      </c>
      <c r="B39" s="11">
        <v>34.059828795933313</v>
      </c>
      <c r="C39" s="11">
        <v>32.080300217084613</v>
      </c>
      <c r="D39" s="11">
        <v>-1.9795285788487385</v>
      </c>
      <c r="E39" s="12" t="str">
        <f>IF(       0.438&lt;0.01,"***",IF(       0.438&lt;0.05,"**",IF(       0.438&lt;0.1,"*","NS")))</f>
        <v>NS</v>
      </c>
      <c r="G39" s="15" t="s">
        <v>10</v>
      </c>
      <c r="H39" s="11">
        <v>34.059828795933313</v>
      </c>
      <c r="I39" s="11">
        <v>36.018586563646643</v>
      </c>
      <c r="J39" s="11">
        <v>1.9587577677135268</v>
      </c>
      <c r="K39" s="12" t="str">
        <f>IF(       0.534&lt;0.01,"***",IF(       0.534&lt;0.05,"**",IF(       0.534&lt;0.1,"*","NS")))</f>
        <v>NS</v>
      </c>
      <c r="L39" s="11">
        <v>22.65834641498347</v>
      </c>
      <c r="M39" s="11">
        <v>-11.401482380949728</v>
      </c>
      <c r="N39" s="12" t="str">
        <f>IF(       0&lt;0.01,"***",IF(       0&lt;0.05,"**",IF(       0&lt;0.1,"*","NS")))</f>
        <v>***</v>
      </c>
      <c r="P39" s="15" t="s">
        <v>10</v>
      </c>
      <c r="Q39" s="11">
        <v>34.278106153593811</v>
      </c>
      <c r="R39" s="11">
        <v>22.65834641498347</v>
      </c>
      <c r="S39" s="11">
        <v>-11.61975973861059</v>
      </c>
      <c r="T39" s="12" t="str">
        <f>IF(       0&lt;0.01,"***",IF(       0&lt;0.05,"**",IF(       0&lt;0.1,"*","NS")))</f>
        <v>***</v>
      </c>
    </row>
    <row r="40" spans="1:20" ht="15.75" customHeight="1"/>
    <row r="41" spans="1:20" ht="15.75" customHeight="1">
      <c r="A41" s="15" t="s">
        <v>104</v>
      </c>
      <c r="G41" s="15" t="s">
        <v>105</v>
      </c>
      <c r="P41" s="15" t="s">
        <v>106</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22.01198449999502</v>
      </c>
      <c r="C43" s="11">
        <v>17.569023759280501</v>
      </c>
      <c r="D43" s="11">
        <v>-4.4429607407146374</v>
      </c>
      <c r="E43" s="12" t="str">
        <f>IF(       0.075&lt;0.01,"***",IF(       0.075&lt;0.05,"**",IF(       0.075&lt;0.1,"*","NS")))</f>
        <v>*</v>
      </c>
      <c r="G43" s="15" t="s">
        <v>5</v>
      </c>
      <c r="H43" s="11">
        <v>22.01198449999502</v>
      </c>
      <c r="I43" s="11">
        <v>22.254933934607291</v>
      </c>
      <c r="J43" s="11">
        <v>0.24294943461238319</v>
      </c>
      <c r="K43" s="12" t="str">
        <f>IF(       0.942&lt;0.01,"***",IF(       0.942&lt;0.05,"**",IF(       0.942&lt;0.1,"*","NS")))</f>
        <v>NS</v>
      </c>
      <c r="L43" s="11">
        <v>10.478188556503181</v>
      </c>
      <c r="M43" s="11">
        <v>-11.53379594349231</v>
      </c>
      <c r="N43" s="12" t="str">
        <f>IF(       0.467&lt;0.01,"***",IF(       0.467&lt;0.05,"**",IF(       0.467&lt;0.1,"*","NS")))</f>
        <v>NS</v>
      </c>
      <c r="P43" s="15" t="s">
        <v>5</v>
      </c>
      <c r="Q43" s="11">
        <v>22.020397051540421</v>
      </c>
      <c r="R43" s="11">
        <v>10.478188556503181</v>
      </c>
      <c r="S43" s="11">
        <v>-11.542208495037229</v>
      </c>
      <c r="T43" s="12" t="str">
        <f>IF(       0&lt;0.01,"***",IF(       0&lt;0.05,"**",IF(       0&lt;0.1,"*","NS")))</f>
        <v>***</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36.214157131819029</v>
      </c>
      <c r="C45" s="11">
        <v>45.086777093106861</v>
      </c>
      <c r="D45" s="11">
        <v>8.8726199612877839</v>
      </c>
      <c r="E45" s="12" t="str">
        <f>IF(       0.005&lt;0.01,"***",IF(       0.005&lt;0.05,"**",IF(       0.005&lt;0.1,"*","NS")))</f>
        <v>***</v>
      </c>
      <c r="G45" s="15" t="s">
        <v>7</v>
      </c>
      <c r="H45" s="11">
        <v>36.214157131819029</v>
      </c>
      <c r="I45" s="11">
        <v>49.854361459259273</v>
      </c>
      <c r="J45" s="11">
        <v>13.640204327440271</v>
      </c>
      <c r="K45" s="12" t="str">
        <f>IF(       0.001&lt;0.01,"***",IF(       0.001&lt;0.05,"**",IF(       0.001&lt;0.1,"*","NS")))</f>
        <v>***</v>
      </c>
      <c r="L45" s="11">
        <v>27.533298816069141</v>
      </c>
      <c r="M45" s="11">
        <v>-8.6808583157499513</v>
      </c>
      <c r="N45" s="12" t="str">
        <f>IF(       0&lt;0.01,"***",IF(       0&lt;0.05,"**",IF(       0&lt;0.1,"*","NS")))</f>
        <v>***</v>
      </c>
      <c r="P45" s="15" t="s">
        <v>7</v>
      </c>
      <c r="Q45" s="11">
        <v>37.152193074688313</v>
      </c>
      <c r="R45" s="11">
        <v>27.533298816069141</v>
      </c>
      <c r="S45" s="11">
        <v>-9.6188942586196351</v>
      </c>
      <c r="T45" s="12" t="str">
        <f>IF(       0.059&lt;0.01,"***",IF(       0.059&lt;0.05,"**",IF(       0.059&lt;0.1,"*","NS")))</f>
        <v>*</v>
      </c>
    </row>
    <row r="46" spans="1:20" ht="15.75" customHeight="1">
      <c r="A46" s="15" t="s">
        <v>8</v>
      </c>
      <c r="B46" s="11">
        <v>38.351915758097313</v>
      </c>
      <c r="C46" s="11">
        <v>30.656632090846198</v>
      </c>
      <c r="D46" s="11">
        <v>-7.6952836672513305</v>
      </c>
      <c r="E46" s="12" t="str">
        <f>IF(       0.007&lt;0.01,"***",IF(       0.007&lt;0.05,"**",IF(       0.007&lt;0.1,"*","NS")))</f>
        <v>***</v>
      </c>
      <c r="G46" s="15" t="s">
        <v>8</v>
      </c>
      <c r="H46" s="11">
        <v>38.351915758097313</v>
      </c>
      <c r="I46" s="11">
        <v>31.235280331093339</v>
      </c>
      <c r="J46" s="11">
        <v>-7.1166354270041161</v>
      </c>
      <c r="K46" s="12" t="str">
        <f>IF(       0.014&lt;0.01,"***",IF(       0.014&lt;0.05,"**",IF(       0.014&lt;0.1,"*","NS")))</f>
        <v>**</v>
      </c>
      <c r="L46" s="11">
        <v>28.59776088629652</v>
      </c>
      <c r="M46" s="11">
        <v>-9.7541548718007132</v>
      </c>
      <c r="N46" s="12" t="str">
        <f>IF(       0.08&lt;0.01,"***",IF(       0.08&lt;0.05,"**",IF(       0.08&lt;0.1,"*","NS")))</f>
        <v>*</v>
      </c>
      <c r="P46" s="15" t="s">
        <v>8</v>
      </c>
      <c r="Q46" s="11">
        <v>38.022809549800307</v>
      </c>
      <c r="R46" s="11">
        <v>28.59776088629652</v>
      </c>
      <c r="S46" s="11">
        <v>-9.4250486635038957</v>
      </c>
      <c r="T46" s="12" t="str">
        <f>IF(       0.13&lt;0.01,"***",IF(       0.13&lt;0.05,"**",IF(       0.13&lt;0.1,"*","NS")))</f>
        <v>NS</v>
      </c>
    </row>
    <row r="47" spans="1:20" ht="15.75" customHeight="1">
      <c r="A47" s="15" t="s">
        <v>10</v>
      </c>
      <c r="B47" s="11">
        <v>30.597508890854421</v>
      </c>
      <c r="C47" s="11">
        <v>33.687927017206583</v>
      </c>
      <c r="D47" s="11">
        <v>3.0904181263521608</v>
      </c>
      <c r="E47" s="12" t="str">
        <f>IF(       0.138&lt;0.01,"***",IF(       0.138&lt;0.05,"**",IF(       0.138&lt;0.1,"*","NS")))</f>
        <v>NS</v>
      </c>
      <c r="G47" s="15" t="s">
        <v>10</v>
      </c>
      <c r="H47" s="11">
        <v>30.597508890854421</v>
      </c>
      <c r="I47" s="11">
        <v>39.237296326778043</v>
      </c>
      <c r="J47" s="11">
        <v>8.6397874359233029</v>
      </c>
      <c r="K47" s="12" t="str">
        <f>IF(       0.001&lt;0.01,"***",IF(       0.001&lt;0.05,"**",IF(       0.001&lt;0.1,"*","NS")))</f>
        <v>***</v>
      </c>
      <c r="L47" s="11">
        <v>18.21245376464605</v>
      </c>
      <c r="M47" s="11">
        <v>-12.385055126209197</v>
      </c>
      <c r="N47" s="12" t="str">
        <f>IF(       0&lt;0.01,"***",IF(       0&lt;0.05,"**",IF(       0&lt;0.1,"*","NS")))</f>
        <v>***</v>
      </c>
      <c r="P47" s="15" t="s">
        <v>10</v>
      </c>
      <c r="Q47" s="11">
        <v>31.03660615330589</v>
      </c>
      <c r="R47" s="11">
        <v>18.21245376464605</v>
      </c>
      <c r="S47" s="11">
        <v>-12.82415238866129</v>
      </c>
      <c r="T47" s="12" t="str">
        <f>IF(       0&lt;0.01,"***",IF(       0&lt;0.05,"**",IF(       0&lt;0.1,"*","NS")))</f>
        <v>***</v>
      </c>
    </row>
    <row r="48" spans="1:20" ht="15.75" customHeight="1"/>
    <row r="49" spans="1:20" ht="15.75" customHeight="1">
      <c r="A49" s="15" t="s">
        <v>107</v>
      </c>
      <c r="G49" s="15" t="s">
        <v>108</v>
      </c>
      <c r="P49" s="15" t="s">
        <v>109</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5.6878117489691666</v>
      </c>
      <c r="C51" s="11">
        <v>5.503793941343889</v>
      </c>
      <c r="D51" s="11">
        <v>-0.18401780762527706</v>
      </c>
      <c r="E51" s="12" t="str">
        <f>IF(       0.824&lt;0.01,"***",IF(       0.824&lt;0.05,"**",IF(       0.824&lt;0.1,"*","NS")))</f>
        <v>NS</v>
      </c>
      <c r="G51" s="15" t="s">
        <v>5</v>
      </c>
      <c r="H51" s="11">
        <v>5.6878117489691666</v>
      </c>
      <c r="I51" s="11">
        <v>4.9448505031573271</v>
      </c>
      <c r="J51" s="11">
        <v>-0.74296124581183454</v>
      </c>
      <c r="K51" s="12" t="str">
        <f>IF(       0.443&lt;0.01,"***",IF(       0.443&lt;0.05,"**",IF(       0.443&lt;0.1,"*","NS")))</f>
        <v>NS</v>
      </c>
      <c r="L51" s="11">
        <v>6.3505649228726284</v>
      </c>
      <c r="M51" s="11">
        <v>0.66275317390345845</v>
      </c>
      <c r="N51" s="12" t="str">
        <f>IF(       0.675&lt;0.01,"***",IF(       0.675&lt;0.05,"**",IF(       0.675&lt;0.1,"*","NS")))</f>
        <v>NS</v>
      </c>
      <c r="P51" s="15" t="s">
        <v>5</v>
      </c>
      <c r="Q51" s="11">
        <v>5.5025795999302014</v>
      </c>
      <c r="R51" s="11">
        <v>6.3505649228726284</v>
      </c>
      <c r="S51" s="11">
        <v>0.84798532294241602</v>
      </c>
      <c r="T51" s="12" t="str">
        <f>IF(       0.599&lt;0.01,"***",IF(       0.599&lt;0.05,"**",IF(       0.599&lt;0.1,"*","NS")))</f>
        <v>NS</v>
      </c>
    </row>
    <row r="52" spans="1:20" ht="15.75" customHeight="1">
      <c r="A52" s="15" t="s">
        <v>6</v>
      </c>
      <c r="B52" s="11">
        <v>5.9246132262888747</v>
      </c>
      <c r="C52" s="11">
        <v>6.55336010577554</v>
      </c>
      <c r="D52" s="11">
        <v>0.62874687948666386</v>
      </c>
      <c r="E52" s="12" t="str">
        <f>IF(       0.714&lt;0.01,"***",IF(       0.714&lt;0.05,"**",IF(       0.714&lt;0.1,"*","NS")))</f>
        <v>NS</v>
      </c>
      <c r="G52" s="15" t="s">
        <v>6</v>
      </c>
      <c r="H52" s="11">
        <v>5.9246132262888747</v>
      </c>
      <c r="I52" s="11">
        <v>8.2948212437349085</v>
      </c>
      <c r="J52" s="11">
        <v>2.3702080174460316</v>
      </c>
      <c r="K52" s="12" t="str">
        <f>IF(       0.29&lt;0.01,"***",IF(       0.29&lt;0.05,"**",IF(       0.29&lt;0.1,"*","NS")))</f>
        <v>NS</v>
      </c>
      <c r="L52" s="11">
        <v>2.3272075560422989</v>
      </c>
      <c r="M52" s="11">
        <v>-3.5974056702465664</v>
      </c>
      <c r="N52" s="12" t="str">
        <f>IF(       0.015&lt;0.01,"***",IF(       0.015&lt;0.05,"**",IF(       0.015&lt;0.1,"*","NS")))</f>
        <v>**</v>
      </c>
      <c r="P52" s="15" t="s">
        <v>6</v>
      </c>
      <c r="Q52" s="11">
        <v>6.4829764549972051</v>
      </c>
      <c r="R52" s="11">
        <v>2.3272075560422989</v>
      </c>
      <c r="S52" s="11">
        <v>-4.1557688989549231</v>
      </c>
      <c r="T52" s="12" t="str">
        <f>IF(       0.004&lt;0.01,"***",IF(       0.004&lt;0.05,"**",IF(       0.004&lt;0.1,"*","NS")))</f>
        <v>***</v>
      </c>
    </row>
    <row r="53" spans="1:20" ht="15.75" customHeight="1">
      <c r="A53" s="15" t="s">
        <v>7</v>
      </c>
      <c r="B53" s="11">
        <v>21.020701161141041</v>
      </c>
      <c r="C53" s="11">
        <v>21.785121998257079</v>
      </c>
      <c r="D53" s="11">
        <v>0.76442083711605213</v>
      </c>
      <c r="E53" s="12" t="str">
        <f>IF(       0.822&lt;0.01,"***",IF(       0.822&lt;0.05,"**",IF(       0.822&lt;0.1,"*","NS")))</f>
        <v>NS</v>
      </c>
      <c r="G53" s="15" t="s">
        <v>7</v>
      </c>
      <c r="H53" s="11">
        <v>21.020701161141041</v>
      </c>
      <c r="I53" s="11">
        <v>23.991991572676351</v>
      </c>
      <c r="J53" s="11">
        <v>2.9712904115352821</v>
      </c>
      <c r="K53" s="12" t="str">
        <f>IF(       0.497&lt;0.01,"***",IF(       0.497&lt;0.05,"**",IF(       0.497&lt;0.1,"*","NS")))</f>
        <v>NS</v>
      </c>
      <c r="L53" s="11">
        <v>17.754855801769949</v>
      </c>
      <c r="M53" s="11">
        <v>-3.2658453593710788</v>
      </c>
      <c r="N53" s="12" t="str">
        <f>IF(       0.372&lt;0.01,"***",IF(       0.372&lt;0.05,"**",IF(       0.372&lt;0.1,"*","NS")))</f>
        <v>NS</v>
      </c>
      <c r="P53" s="15" t="s">
        <v>7</v>
      </c>
      <c r="Q53" s="11">
        <v>21.774333236131419</v>
      </c>
      <c r="R53" s="11">
        <v>17.754855801769949</v>
      </c>
      <c r="S53" s="11">
        <v>-4.0194774343615016</v>
      </c>
      <c r="T53" s="12" t="str">
        <f>IF(       0.272&lt;0.01,"***",IF(       0.272&lt;0.05,"**",IF(       0.272&lt;0.1,"*","NS")))</f>
        <v>NS</v>
      </c>
    </row>
    <row r="54" spans="1:20" ht="15.75" customHeight="1">
      <c r="A54" s="15" t="s">
        <v>8</v>
      </c>
      <c r="B54" s="11">
        <v>8.6419230571766938</v>
      </c>
      <c r="C54" s="11">
        <v>8.4600302027791088</v>
      </c>
      <c r="D54" s="11">
        <v>-0.18189285439758993</v>
      </c>
      <c r="E54" s="12" t="str">
        <f>IF(       0.933&lt;0.01,"***",IF(       0.933&lt;0.05,"**",IF(       0.933&lt;0.1,"*","NS")))</f>
        <v>NS</v>
      </c>
      <c r="G54" s="15" t="s">
        <v>8</v>
      </c>
      <c r="H54" s="11">
        <v>8.6419230571766938</v>
      </c>
      <c r="I54" s="11">
        <v>8.2422105484785675</v>
      </c>
      <c r="J54" s="11">
        <v>-0.39971250869812286</v>
      </c>
      <c r="K54" s="12" t="str">
        <f>IF(       0.854&lt;0.01,"***",IF(       0.854&lt;0.05,"**",IF(       0.854&lt;0.1,"*","NS")))</f>
        <v>NS</v>
      </c>
      <c r="L54" s="11">
        <v>8.8926586410686372</v>
      </c>
      <c r="M54" s="11">
        <v>0.25073558389193851</v>
      </c>
      <c r="N54" s="12" t="str">
        <f>IF(       0.938&lt;0.01,"***",IF(       0.938&lt;0.05,"**",IF(       0.938&lt;0.1,"*","NS")))</f>
        <v>NS</v>
      </c>
      <c r="P54" s="15" t="s">
        <v>8</v>
      </c>
      <c r="Q54" s="11">
        <v>8.5643722478439663</v>
      </c>
      <c r="R54" s="11">
        <v>8.8926586410686372</v>
      </c>
      <c r="S54" s="11">
        <v>0.32828639322466446</v>
      </c>
      <c r="T54" s="12" t="str">
        <f>IF(       0.915&lt;0.01,"***",IF(       0.915&lt;0.05,"**",IF(       0.915&lt;0.1,"*","NS")))</f>
        <v>NS</v>
      </c>
    </row>
    <row r="55" spans="1:20" ht="15.75" customHeight="1">
      <c r="A55" s="15" t="s">
        <v>10</v>
      </c>
      <c r="B55" s="11">
        <v>12.00731009292477</v>
      </c>
      <c r="C55" s="11">
        <v>12.63498820854057</v>
      </c>
      <c r="D55" s="11">
        <v>0.62767811561581777</v>
      </c>
      <c r="E55" s="12" t="str">
        <f>IF(       0.672&lt;0.01,"***",IF(       0.672&lt;0.05,"**",IF(       0.672&lt;0.1,"*","NS")))</f>
        <v>NS</v>
      </c>
      <c r="G55" s="15" t="s">
        <v>10</v>
      </c>
      <c r="H55" s="11">
        <v>12.00731009292477</v>
      </c>
      <c r="I55" s="11">
        <v>13.68055037084048</v>
      </c>
      <c r="J55" s="11">
        <v>1.6732402779157551</v>
      </c>
      <c r="K55" s="12" t="str">
        <f>IF(       0.405&lt;0.01,"***",IF(       0.405&lt;0.05,"**",IF(       0.405&lt;0.1,"*","NS")))</f>
        <v>NS</v>
      </c>
      <c r="L55" s="11">
        <v>10.738871457599339</v>
      </c>
      <c r="M55" s="11">
        <v>-1.2684386353254216</v>
      </c>
      <c r="N55" s="12" t="str">
        <f>IF(       0.467&lt;0.01,"***",IF(       0.467&lt;0.05,"**",IF(       0.467&lt;0.1,"*","NS")))</f>
        <v>NS</v>
      </c>
      <c r="P55" s="15" t="s">
        <v>10</v>
      </c>
      <c r="Q55" s="11">
        <v>12.408172437651871</v>
      </c>
      <c r="R55" s="11">
        <v>10.738871457599339</v>
      </c>
      <c r="S55" s="11">
        <v>-1.6693009800524263</v>
      </c>
      <c r="T55" s="12" t="str">
        <f>IF(       0.351&lt;0.01,"***",IF(       0.351&lt;0.05,"**",IF(       0.351&lt;0.1,"*","NS")))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00"/>
  <sheetViews>
    <sheetView zoomScaleNormal="100" workbookViewId="0">
      <selection activeCell="G28" sqref="G28"/>
    </sheetView>
  </sheetViews>
  <sheetFormatPr baseColWidth="10" defaultColWidth="14.5" defaultRowHeight="15" customHeight="1"/>
  <cols>
    <col min="1" max="1" width="15.83203125" style="16" customWidth="1"/>
    <col min="2" max="5" width="15.83203125" style="13" customWidth="1"/>
    <col min="6" max="6" width="8.6640625" style="13" customWidth="1"/>
    <col min="7" max="7" width="15.83203125" style="16" customWidth="1"/>
    <col min="8" max="14" width="15.83203125" style="13" customWidth="1"/>
    <col min="15" max="15" width="8.6640625" style="13" customWidth="1"/>
    <col min="16" max="16" width="15.83203125" style="16" customWidth="1"/>
    <col min="17" max="20" width="15.83203125" style="13" customWidth="1"/>
    <col min="21" max="26" width="8.6640625" style="13" customWidth="1"/>
    <col min="27" max="16384" width="14.5" style="13"/>
  </cols>
  <sheetData>
    <row r="1" spans="1:20">
      <c r="A1" s="15" t="s">
        <v>110</v>
      </c>
      <c r="G1" s="15" t="s">
        <v>111</v>
      </c>
      <c r="P1" s="15" t="s">
        <v>112</v>
      </c>
    </row>
    <row r="2" spans="1:20" s="8" customFormat="1">
      <c r="A2" s="7" t="s">
        <v>1</v>
      </c>
      <c r="B2" s="7" t="s">
        <v>44</v>
      </c>
      <c r="C2" s="7" t="s">
        <v>2</v>
      </c>
      <c r="D2" s="7" t="s">
        <v>45</v>
      </c>
      <c r="E2" s="7" t="s">
        <v>46</v>
      </c>
      <c r="G2" s="7" t="s">
        <v>1</v>
      </c>
      <c r="H2" s="7" t="s">
        <v>44</v>
      </c>
      <c r="I2" s="7" t="s">
        <v>3</v>
      </c>
      <c r="J2" s="7" t="s">
        <v>45</v>
      </c>
      <c r="K2" s="7" t="s">
        <v>46</v>
      </c>
      <c r="L2" s="7" t="s">
        <v>4</v>
      </c>
      <c r="M2" s="7" t="s">
        <v>47</v>
      </c>
      <c r="N2" s="7" t="s">
        <v>48</v>
      </c>
      <c r="P2" s="7" t="s">
        <v>1</v>
      </c>
      <c r="Q2" s="7" t="s">
        <v>49</v>
      </c>
      <c r="R2" s="7" t="s">
        <v>4</v>
      </c>
      <c r="S2" s="7" t="s">
        <v>45</v>
      </c>
      <c r="T2" s="7" t="s">
        <v>46</v>
      </c>
    </row>
    <row r="3" spans="1:20">
      <c r="A3" s="15" t="s">
        <v>5</v>
      </c>
      <c r="B3" s="11">
        <v>2.0999997541688651</v>
      </c>
      <c r="C3" s="11">
        <v>1.4387259129688701</v>
      </c>
      <c r="D3" s="11">
        <v>-0.66127384120001798</v>
      </c>
      <c r="E3" s="12" t="str">
        <f>IF(       0.022&lt;0.01,"***",IF(       0.022&lt;0.05,"**",IF(       0.022&lt;0.1,"*","NS")))</f>
        <v>**</v>
      </c>
      <c r="G3" s="15" t="s">
        <v>5</v>
      </c>
      <c r="H3" s="11">
        <v>2.0999997541688651</v>
      </c>
      <c r="I3" s="11">
        <v>1.4465799156815089</v>
      </c>
      <c r="J3" s="11">
        <v>-0.65341983848740404</v>
      </c>
      <c r="K3" s="12" t="str">
        <f>IF(       0.099&lt;0.01,"***",IF(       0.099&lt;0.05,"**",IF(       0.099&lt;0.1,"*","NS")))</f>
        <v>*</v>
      </c>
      <c r="L3" s="11">
        <v>1.426831232669336</v>
      </c>
      <c r="M3" s="11">
        <v>-0.67316852149950246</v>
      </c>
      <c r="N3" s="12" t="str">
        <f>IF(       0.256&lt;0.01,"***",IF(       0.256&lt;0.05,"**",IF(       0.256&lt;0.1,"*","NS")))</f>
        <v>NS</v>
      </c>
      <c r="P3" s="15" t="s">
        <v>5</v>
      </c>
      <c r="Q3" s="11">
        <v>2.039855465500799</v>
      </c>
      <c r="R3" s="11">
        <v>1.426831232669336</v>
      </c>
      <c r="S3" s="11">
        <v>-0.61302423283143914</v>
      </c>
      <c r="T3" s="12" t="str">
        <f>IF(       0.309&lt;0.01,"***",IF(       0.309&lt;0.05,"**",IF(       0.309&lt;0.1,"*","NS")))</f>
        <v>NS</v>
      </c>
    </row>
    <row r="4" spans="1:20">
      <c r="A4" s="15" t="s">
        <v>6</v>
      </c>
      <c r="B4" s="11">
        <v>2.3469052665036978</v>
      </c>
      <c r="C4" s="11">
        <v>3.2333464894876238</v>
      </c>
      <c r="D4" s="11">
        <v>0.8864412229839328</v>
      </c>
      <c r="E4" s="12" t="str">
        <f>IF(       0.511&lt;0.01,"***",IF(       0.511&lt;0.05,"**",IF(       0.511&lt;0.1,"*","NS")))</f>
        <v>NS</v>
      </c>
      <c r="G4" s="15" t="s">
        <v>6</v>
      </c>
      <c r="H4" s="11">
        <v>2.3469052665036978</v>
      </c>
      <c r="I4" s="11">
        <v>3.8478232281641072</v>
      </c>
      <c r="J4" s="11">
        <v>1.5009179616604214</v>
      </c>
      <c r="K4" s="12" t="str">
        <f>IF(       0.411&lt;0.01,"***",IF(       0.411&lt;0.05,"**",IF(       0.411&lt;0.1,"*","NS")))</f>
        <v>NS</v>
      </c>
      <c r="L4" s="11">
        <v>1.6641076518586031</v>
      </c>
      <c r="M4" s="11">
        <v>-0.68279761464510125</v>
      </c>
      <c r="N4" s="12" t="str">
        <f>IF(       0.509&lt;0.01,"***",IF(       0.509&lt;0.05,"**",IF(       0.509&lt;0.1,"*","NS")))</f>
        <v>NS</v>
      </c>
      <c r="P4" s="15" t="s">
        <v>6</v>
      </c>
      <c r="Q4" s="11">
        <v>2.4884667623209502</v>
      </c>
      <c r="R4" s="11">
        <v>1.6641076518586031</v>
      </c>
      <c r="S4" s="11">
        <v>-0.8243591104623551</v>
      </c>
      <c r="T4" s="12" t="str">
        <f>IF(       0.432&lt;0.01,"***",IF(       0.432&lt;0.05,"**",IF(       0.432&lt;0.1,"*","NS")))</f>
        <v>NS</v>
      </c>
    </row>
    <row r="5" spans="1:20">
      <c r="A5" s="15" t="s">
        <v>7</v>
      </c>
      <c r="B5" s="11">
        <v>13.82495880251682</v>
      </c>
      <c r="C5" s="11">
        <v>11.195451339622659</v>
      </c>
      <c r="D5" s="11">
        <v>-2.6295074628941788</v>
      </c>
      <c r="E5" s="12" t="str">
        <f>IF(       0.269&lt;0.01,"***",IF(       0.269&lt;0.05,"**",IF(       0.269&lt;0.1,"*","NS")))</f>
        <v>NS</v>
      </c>
      <c r="G5" s="15" t="s">
        <v>7</v>
      </c>
      <c r="H5" s="11">
        <v>13.82495880251682</v>
      </c>
      <c r="I5" s="11">
        <v>12.28233205641641</v>
      </c>
      <c r="J5" s="11">
        <v>-1.5426267461003842</v>
      </c>
      <c r="K5" s="12" t="str">
        <f>IF(       0.546&lt;0.01,"***",IF(       0.546&lt;0.05,"**",IF(       0.546&lt;0.1,"*","NS")))</f>
        <v>NS</v>
      </c>
      <c r="L5" s="11">
        <v>8.6597447618007184</v>
      </c>
      <c r="M5" s="11">
        <v>-5.1652140407159246</v>
      </c>
      <c r="N5" s="12" t="str">
        <f>IF(       0.137&lt;0.01,"***",IF(       0.137&lt;0.05,"**",IF(       0.137&lt;0.1,"*","NS")))</f>
        <v>NS</v>
      </c>
      <c r="P5" s="15" t="s">
        <v>7</v>
      </c>
      <c r="Q5" s="11">
        <v>13.643700313056151</v>
      </c>
      <c r="R5" s="11">
        <v>8.6597447618007184</v>
      </c>
      <c r="S5" s="11">
        <v>-4.9839555512553861</v>
      </c>
      <c r="T5" s="12" t="str">
        <f>IF(       0.139&lt;0.01,"***",IF(       0.139&lt;0.05,"**",IF(       0.139&lt;0.1,"*","NS")))</f>
        <v>NS</v>
      </c>
    </row>
    <row r="6" spans="1:20">
      <c r="A6" s="15" t="s">
        <v>8</v>
      </c>
      <c r="B6" s="11">
        <v>3.3747194683854209</v>
      </c>
      <c r="C6" s="11">
        <v>3.087199272132588</v>
      </c>
      <c r="D6" s="11">
        <v>-0.2875201962528281</v>
      </c>
      <c r="E6" s="12" t="str">
        <f>IF(       0.651&lt;0.01,"***",IF(       0.651&lt;0.05,"**",IF(       0.651&lt;0.1,"*","NS")))</f>
        <v>NS</v>
      </c>
      <c r="G6" s="15" t="s">
        <v>8</v>
      </c>
      <c r="H6" s="11">
        <v>3.3747194683854209</v>
      </c>
      <c r="I6" s="11">
        <v>4.03969442635172</v>
      </c>
      <c r="J6" s="11">
        <v>0.66497495796627171</v>
      </c>
      <c r="K6" s="12" t="str">
        <f>IF(       0.397&lt;0.01,"***",IF(       0.397&lt;0.05,"**",IF(       0.397&lt;0.1,"*","NS")))</f>
        <v>NS</v>
      </c>
      <c r="L6" s="11">
        <v>0.83908103361804287</v>
      </c>
      <c r="M6" s="11">
        <v>-2.5356384347674488</v>
      </c>
      <c r="N6" s="12" t="str">
        <f>IF(       0.001&lt;0.01,"***",IF(       0.001&lt;0.05,"**",IF(       0.001&lt;0.1,"*","NS")))</f>
        <v>***</v>
      </c>
      <c r="P6" s="15" t="s">
        <v>8</v>
      </c>
      <c r="Q6" s="11">
        <v>3.434829444042903</v>
      </c>
      <c r="R6" s="11">
        <v>0.83908103361804287</v>
      </c>
      <c r="S6" s="11">
        <v>-2.5957484104248523</v>
      </c>
      <c r="T6" s="12" t="str">
        <f>IF(       0&lt;0.01,"***",IF(       0&lt;0.05,"**",IF(       0&lt;0.1,"*","NS")))</f>
        <v>***</v>
      </c>
    </row>
    <row r="7" spans="1:20">
      <c r="A7" s="15" t="s">
        <v>10</v>
      </c>
      <c r="B7" s="11">
        <v>6.9024569742502804</v>
      </c>
      <c r="C7" s="11">
        <v>6.1937312591020603</v>
      </c>
      <c r="D7" s="11">
        <v>-0.70872571514829952</v>
      </c>
      <c r="E7" s="12" t="str">
        <f>IF(       0.516&lt;0.01,"***",IF(       0.516&lt;0.05,"**",IF(       0.516&lt;0.1,"*","NS")))</f>
        <v>NS</v>
      </c>
      <c r="G7" s="15" t="s">
        <v>10</v>
      </c>
      <c r="H7" s="11">
        <v>6.9024569742502804</v>
      </c>
      <c r="I7" s="11">
        <v>7.0965908897085663</v>
      </c>
      <c r="J7" s="11">
        <v>0.19413391545827727</v>
      </c>
      <c r="K7" s="12" t="str">
        <f>IF(       0.871&lt;0.01,"***",IF(       0.871&lt;0.05,"**",IF(       0.871&lt;0.1,"*","NS")))</f>
        <v>NS</v>
      </c>
      <c r="L7" s="11">
        <v>4.319485950396289</v>
      </c>
      <c r="M7" s="11">
        <v>-2.5829710238539612</v>
      </c>
      <c r="N7" s="12" t="str">
        <f>IF(       0.083&lt;0.01,"***",IF(       0.083&lt;0.05,"**",IF(       0.083&lt;0.1,"*","NS")))</f>
        <v>*</v>
      </c>
      <c r="P7" s="15" t="s">
        <v>10</v>
      </c>
      <c r="Q7" s="11">
        <v>6.9223116479830287</v>
      </c>
      <c r="R7" s="11">
        <v>4.319485950396289</v>
      </c>
      <c r="S7" s="11">
        <v>-2.6028256975865247</v>
      </c>
      <c r="T7" s="12" t="str">
        <f>IF(       0.071&lt;0.01,"***",IF(       0.071&lt;0.05,"**",IF(       0.071&lt;0.1,"*","NS")))</f>
        <v>*</v>
      </c>
    </row>
    <row r="9" spans="1:20">
      <c r="A9" s="15" t="s">
        <v>113</v>
      </c>
      <c r="G9" s="15" t="s">
        <v>114</v>
      </c>
      <c r="P9" s="15" t="s">
        <v>115</v>
      </c>
    </row>
    <row r="10" spans="1:20" s="8" customFormat="1">
      <c r="A10" s="7" t="s">
        <v>1</v>
      </c>
      <c r="B10" s="7" t="s">
        <v>44</v>
      </c>
      <c r="C10" s="7" t="s">
        <v>2</v>
      </c>
      <c r="D10" s="7" t="s">
        <v>45</v>
      </c>
      <c r="E10" s="7" t="s">
        <v>46</v>
      </c>
      <c r="G10" s="7" t="s">
        <v>1</v>
      </c>
      <c r="H10" s="7" t="s">
        <v>44</v>
      </c>
      <c r="I10" s="7" t="s">
        <v>3</v>
      </c>
      <c r="J10" s="7" t="s">
        <v>45</v>
      </c>
      <c r="K10" s="7" t="s">
        <v>46</v>
      </c>
      <c r="L10" s="7" t="s">
        <v>4</v>
      </c>
      <c r="M10" s="7" t="s">
        <v>47</v>
      </c>
      <c r="N10" s="7" t="s">
        <v>48</v>
      </c>
      <c r="P10" s="7" t="s">
        <v>1</v>
      </c>
      <c r="Q10" s="7" t="s">
        <v>49</v>
      </c>
      <c r="R10" s="7" t="s">
        <v>4</v>
      </c>
      <c r="S10" s="7" t="s">
        <v>45</v>
      </c>
      <c r="T10" s="7" t="s">
        <v>46</v>
      </c>
    </row>
    <row r="11" spans="1:20">
      <c r="A11" s="15" t="s">
        <v>5</v>
      </c>
      <c r="B11" s="11">
        <v>1.1943961026903931</v>
      </c>
      <c r="C11" s="11">
        <v>1.3198325231882599</v>
      </c>
      <c r="D11" s="11">
        <v>0.12543642049786916</v>
      </c>
      <c r="E11" s="12" t="str">
        <f t="shared" ref="E11:E12" si="0">IF(       0.739&lt;0.01,"***",IF(       0.739&lt;0.05,"**",IF(       0.739&lt;0.1,"*","NS")))</f>
        <v>NS</v>
      </c>
      <c r="G11" s="15" t="s">
        <v>5</v>
      </c>
      <c r="H11" s="11">
        <v>1.1943961026903931</v>
      </c>
      <c r="I11" s="11">
        <v>1.0917974213763111</v>
      </c>
      <c r="J11" s="11">
        <v>-0.10259868131407726</v>
      </c>
      <c r="K11" s="12" t="str">
        <f>IF(       0.805&lt;0.01,"***",IF(       0.805&lt;0.05,"**",IF(       0.805&lt;0.1,"*","NS")))</f>
        <v>NS</v>
      </c>
      <c r="L11" s="11">
        <v>1.67109635838948</v>
      </c>
      <c r="M11" s="11">
        <v>0.47670025569910884</v>
      </c>
      <c r="N11" s="12" t="str">
        <f>IF(       0.557&lt;0.01,"***",IF(       0.557&lt;0.05,"**",IF(       0.557&lt;0.1,"*","NS")))</f>
        <v>NS</v>
      </c>
      <c r="P11" s="15" t="s">
        <v>5</v>
      </c>
      <c r="Q11" s="11">
        <v>1.1850518673352279</v>
      </c>
      <c r="R11" s="11">
        <v>1.67109635838948</v>
      </c>
      <c r="S11" s="11">
        <v>0.48604449105424213</v>
      </c>
      <c r="T11" s="12" t="str">
        <f>IF(       0.552&lt;0.01,"***",IF(       0.552&lt;0.05,"**",IF(       0.552&lt;0.1,"*","NS")))</f>
        <v>NS</v>
      </c>
    </row>
    <row r="12" spans="1:20">
      <c r="A12" s="15" t="s">
        <v>6</v>
      </c>
      <c r="B12" s="11">
        <v>1.48946373916532</v>
      </c>
      <c r="C12" s="11">
        <v>1.248091423678622</v>
      </c>
      <c r="D12" s="11">
        <v>-0.24137231548669483</v>
      </c>
      <c r="E12" s="12" t="str">
        <f t="shared" si="0"/>
        <v>NS</v>
      </c>
      <c r="G12" s="15" t="s">
        <v>6</v>
      </c>
      <c r="H12" s="11">
        <v>1.48946373916532</v>
      </c>
      <c r="I12" s="11">
        <v>1.233766684975794</v>
      </c>
      <c r="J12" s="11">
        <v>-0.2556970541895256</v>
      </c>
      <c r="K12" s="12" t="str">
        <f>IF(       0.787&lt;0.01,"***",IF(       0.787&lt;0.05,"**",IF(       0.787&lt;0.1,"*","NS")))</f>
        <v>NS</v>
      </c>
      <c r="L12" s="11">
        <v>1.287159208347759</v>
      </c>
      <c r="M12" s="11">
        <v>-0.20230453081755881</v>
      </c>
      <c r="N12" s="12" t="str">
        <f>IF(       0.867&lt;0.01,"***",IF(       0.867&lt;0.05,"**",IF(       0.867&lt;0.1,"*","NS")))</f>
        <v>NS</v>
      </c>
      <c r="P12" s="15" t="s">
        <v>6</v>
      </c>
      <c r="Q12" s="11">
        <v>1.4662727846991519</v>
      </c>
      <c r="R12" s="11">
        <v>1.287159208347759</v>
      </c>
      <c r="S12" s="11">
        <v>-0.17911357635139405</v>
      </c>
      <c r="T12" s="12" t="str">
        <f>IF(       0.884&lt;0.01,"***",IF(       0.884&lt;0.05,"**",IF(       0.884&lt;0.1,"*","NS")))</f>
        <v>NS</v>
      </c>
    </row>
    <row r="13" spans="1:20">
      <c r="A13" s="15" t="s">
        <v>7</v>
      </c>
      <c r="B13" s="11">
        <v>11.104798598330349</v>
      </c>
      <c r="C13" s="11">
        <v>8.0985491108925238</v>
      </c>
      <c r="D13" s="11">
        <v>-3.0062494874378953</v>
      </c>
      <c r="E13" s="12" t="str">
        <f>IF(       0.13&lt;0.01,"***",IF(       0.13&lt;0.05,"**",IF(       0.13&lt;0.1,"*","NS")))</f>
        <v>NS</v>
      </c>
      <c r="G13" s="15" t="s">
        <v>7</v>
      </c>
      <c r="H13" s="11">
        <v>11.104798598330349</v>
      </c>
      <c r="I13" s="11">
        <v>8.693029078821132</v>
      </c>
      <c r="J13" s="11">
        <v>-2.4117695195091837</v>
      </c>
      <c r="K13" s="12" t="str">
        <f>IF(       0.351&lt;0.01,"***",IF(       0.351&lt;0.05,"**",IF(       0.351&lt;0.1,"*","NS")))</f>
        <v>NS</v>
      </c>
      <c r="L13" s="11">
        <v>6.5989291974830824</v>
      </c>
      <c r="M13" s="11">
        <v>-4.5058694008471942</v>
      </c>
      <c r="N13" s="12" t="str">
        <f>IF(       0.246&lt;0.01,"***",IF(       0.246&lt;0.05,"**",IF(       0.246&lt;0.1,"*","NS")))</f>
        <v>NS</v>
      </c>
      <c r="P13" s="15" t="s">
        <v>7</v>
      </c>
      <c r="Q13" s="11">
        <v>10.772328529370791</v>
      </c>
      <c r="R13" s="11">
        <v>6.5989291974830824</v>
      </c>
      <c r="S13" s="11">
        <v>-4.1733993318876772</v>
      </c>
      <c r="T13" s="12" t="str">
        <f>IF(       0.292&lt;0.01,"***",IF(       0.292&lt;0.05,"**",IF(       0.292&lt;0.1,"*","NS")))</f>
        <v>NS</v>
      </c>
    </row>
    <row r="14" spans="1:20">
      <c r="A14" s="15" t="s">
        <v>8</v>
      </c>
      <c r="B14" s="11">
        <v>1.536688750711787</v>
      </c>
      <c r="C14" s="11">
        <v>2.5685133662450399</v>
      </c>
      <c r="D14" s="11">
        <v>1.0318246155332536</v>
      </c>
      <c r="E14" s="12" t="str">
        <f>IF(       0.211&lt;0.01,"***",IF(       0.211&lt;0.05,"**",IF(       0.211&lt;0.1,"*","NS")))</f>
        <v>NS</v>
      </c>
      <c r="G14" s="15" t="s">
        <v>8</v>
      </c>
      <c r="H14" s="11">
        <v>1.536688750711787</v>
      </c>
      <c r="I14" s="11">
        <v>3.5793050137195328</v>
      </c>
      <c r="J14" s="11">
        <v>2.0426162630078233</v>
      </c>
      <c r="K14" s="12" t="str">
        <f>IF(       0.072&lt;0.01,"***",IF(       0.072&lt;0.05,"**",IF(       0.072&lt;0.1,"*","NS")))</f>
        <v>*</v>
      </c>
      <c r="L14" s="11">
        <v>0</v>
      </c>
      <c r="M14" s="11">
        <v>-1.5366887507117872</v>
      </c>
      <c r="N14" s="12" t="str">
        <f>IF(       0&lt;0.01,"***",IF(       0&lt;0.05,"**",IF(       0&lt;0.1,"*","NS")))</f>
        <v>***</v>
      </c>
      <c r="P14" s="15" t="s">
        <v>8</v>
      </c>
      <c r="Q14" s="11">
        <v>1.7221844142004581</v>
      </c>
      <c r="R14" s="11">
        <v>0</v>
      </c>
      <c r="S14" s="11">
        <v>-1.7221844142004343</v>
      </c>
      <c r="T14" s="12" t="str">
        <f>IF(       0&lt;0.01,"***",IF(       0&lt;0.05,"**",IF(       0&lt;0.1,"*","NS")))</f>
        <v>***</v>
      </c>
    </row>
    <row r="15" spans="1:20">
      <c r="A15" s="15" t="s">
        <v>10</v>
      </c>
      <c r="B15" s="11">
        <v>4.9983287302378061</v>
      </c>
      <c r="C15" s="11">
        <v>4.6267408761185482</v>
      </c>
      <c r="D15" s="11">
        <v>-0.37158785411925638</v>
      </c>
      <c r="E15" s="12" t="str">
        <f>IF(       0.682&lt;0.01,"***",IF(       0.682&lt;0.05,"**",IF(       0.682&lt;0.1,"*","NS")))</f>
        <v>NS</v>
      </c>
      <c r="G15" s="15" t="s">
        <v>10</v>
      </c>
      <c r="H15" s="11">
        <v>4.9983287302378061</v>
      </c>
      <c r="I15" s="11">
        <v>5.1156811743558048</v>
      </c>
      <c r="J15" s="11">
        <v>0.11735244411800576</v>
      </c>
      <c r="K15" s="12" t="str">
        <f>IF(       0.925&lt;0.01,"***",IF(       0.925&lt;0.05,"**",IF(       0.925&lt;0.1,"*","NS")))</f>
        <v>NS</v>
      </c>
      <c r="L15" s="11">
        <v>3.5520557438757381</v>
      </c>
      <c r="M15" s="11">
        <v>-1.4462729863620776</v>
      </c>
      <c r="N15" s="12" t="str">
        <f>IF(       0.375&lt;0.01,"***",IF(       0.375&lt;0.05,"**",IF(       0.375&lt;0.1,"*","NS")))</f>
        <v>NS</v>
      </c>
      <c r="P15" s="15" t="s">
        <v>10</v>
      </c>
      <c r="Q15" s="11">
        <v>5.0111239278873763</v>
      </c>
      <c r="R15" s="11">
        <v>3.5520557438757381</v>
      </c>
      <c r="S15" s="11">
        <v>-1.459068184011733</v>
      </c>
      <c r="T15" s="12" t="str">
        <f>IF(       0.379&lt;0.01,"***",IF(       0.379&lt;0.05,"**",IF(       0.379&lt;0.1,"*","NS")))</f>
        <v>NS</v>
      </c>
    </row>
    <row r="17" spans="1:20">
      <c r="A17" s="15" t="s">
        <v>116</v>
      </c>
      <c r="G17" s="15" t="s">
        <v>117</v>
      </c>
      <c r="P17" s="15" t="s">
        <v>118</v>
      </c>
    </row>
    <row r="18" spans="1:20" s="8" customFormat="1">
      <c r="A18" s="7" t="s">
        <v>1</v>
      </c>
      <c r="B18" s="7" t="s">
        <v>44</v>
      </c>
      <c r="C18" s="7" t="s">
        <v>2</v>
      </c>
      <c r="D18" s="7" t="s">
        <v>45</v>
      </c>
      <c r="E18" s="7" t="s">
        <v>46</v>
      </c>
      <c r="G18" s="7" t="s">
        <v>1</v>
      </c>
      <c r="H18" s="7" t="s">
        <v>44</v>
      </c>
      <c r="I18" s="7" t="s">
        <v>3</v>
      </c>
      <c r="J18" s="7" t="s">
        <v>45</v>
      </c>
      <c r="K18" s="7" t="s">
        <v>46</v>
      </c>
      <c r="L18" s="7" t="s">
        <v>4</v>
      </c>
      <c r="M18" s="7" t="s">
        <v>47</v>
      </c>
      <c r="N18" s="7" t="s">
        <v>48</v>
      </c>
      <c r="P18" s="7" t="s">
        <v>1</v>
      </c>
      <c r="Q18" s="7" t="s">
        <v>49</v>
      </c>
      <c r="R18" s="7" t="s">
        <v>4</v>
      </c>
      <c r="S18" s="7" t="s">
        <v>45</v>
      </c>
      <c r="T18" s="7" t="s">
        <v>46</v>
      </c>
    </row>
    <row r="19" spans="1:20">
      <c r="A19" s="15" t="s">
        <v>5</v>
      </c>
      <c r="B19" s="11">
        <v>3.4521253281174582</v>
      </c>
      <c r="C19" s="11">
        <v>1.608397383729236</v>
      </c>
      <c r="D19" s="11">
        <v>-1.8437279443882855</v>
      </c>
      <c r="E19" s="12" t="str">
        <f>IF(       0.001&lt;0.01,"***",IF(       0.001&lt;0.05,"**",IF(       0.001&lt;0.1,"*","NS")))</f>
        <v>***</v>
      </c>
      <c r="G19" s="15" t="s">
        <v>5</v>
      </c>
      <c r="H19" s="11">
        <v>3.4521253281174582</v>
      </c>
      <c r="I19" s="11">
        <v>1.961245431532711</v>
      </c>
      <c r="J19" s="11">
        <v>-1.4908798965847265</v>
      </c>
      <c r="K19" s="12" t="str">
        <f>IF(       0.034&lt;0.01,"***",IF(       0.034&lt;0.05,"**",IF(       0.034&lt;0.1,"*","NS")))</f>
        <v>**</v>
      </c>
      <c r="L19" s="11">
        <v>1.0867516486853499</v>
      </c>
      <c r="M19" s="11">
        <v>-2.3653736794320248</v>
      </c>
      <c r="N19" s="12" t="str">
        <f>IF(       0.002&lt;0.01,"***",IF(       0.002&lt;0.05,"**",IF(       0.002&lt;0.1,"*","NS")))</f>
        <v>***</v>
      </c>
      <c r="P19" s="15" t="s">
        <v>5</v>
      </c>
      <c r="Q19" s="11">
        <v>3.3127436542071949</v>
      </c>
      <c r="R19" s="11">
        <v>1.0867516486853499</v>
      </c>
      <c r="S19" s="11">
        <v>-2.2259920055218574</v>
      </c>
      <c r="T19" s="12" t="str">
        <f>IF(       0.003&lt;0.01,"***",IF(       0.003&lt;0.05,"**",IF(       0.003&lt;0.1,"*","NS")))</f>
        <v>***</v>
      </c>
    </row>
    <row r="20" spans="1:20">
      <c r="A20" s="15" t="s">
        <v>6</v>
      </c>
      <c r="B20" s="11">
        <v>3.5614349615385161</v>
      </c>
      <c r="C20" s="11">
        <v>5.6733467886404956</v>
      </c>
      <c r="D20" s="11">
        <v>2.111911827101983</v>
      </c>
      <c r="E20" s="12" t="str">
        <f>IF(       0.35&lt;0.01,"***",IF(       0.35&lt;0.05,"**",IF(       0.35&lt;0.1,"*","NS")))</f>
        <v>NS</v>
      </c>
      <c r="G20" s="15" t="s">
        <v>6</v>
      </c>
      <c r="H20" s="11">
        <v>3.5614349615385161</v>
      </c>
      <c r="I20" s="11">
        <v>7.1941982692936222</v>
      </c>
      <c r="J20" s="11">
        <v>3.6327633077551038</v>
      </c>
      <c r="K20" s="12" t="str">
        <f>IF(       0.26&lt;0.01,"***",IF(       0.26&lt;0.05,"**",IF(       0.26&lt;0.1,"*","NS")))</f>
        <v>NS</v>
      </c>
      <c r="L20" s="11">
        <v>2.0819272861562799</v>
      </c>
      <c r="M20" s="11">
        <v>-1.4795076753822283</v>
      </c>
      <c r="N20" s="12" t="str">
        <f>IF(       0.392&lt;0.01,"***",IF(       0.392&lt;0.05,"**",IF(       0.392&lt;0.1,"*","NS")))</f>
        <v>NS</v>
      </c>
      <c r="P20" s="15" t="s">
        <v>6</v>
      </c>
      <c r="Q20" s="11">
        <v>3.922512030816272</v>
      </c>
      <c r="R20" s="11">
        <v>2.0819272861562799</v>
      </c>
      <c r="S20" s="11">
        <v>-1.8405847446599832</v>
      </c>
      <c r="T20" s="12" t="str">
        <f>IF(       0.306&lt;0.01,"***",IF(       0.306&lt;0.05,"**",IF(       0.306&lt;0.1,"*","NS")))</f>
        <v>NS</v>
      </c>
    </row>
    <row r="21" spans="1:20" ht="15.75" customHeight="1">
      <c r="A21" s="15" t="s">
        <v>7</v>
      </c>
      <c r="B21" s="11">
        <v>17.06070907002044</v>
      </c>
      <c r="C21" s="11">
        <v>16.647120307542249</v>
      </c>
      <c r="D21" s="11">
        <v>-0.41358876247819609</v>
      </c>
      <c r="E21" s="12" t="str">
        <f>IF(       0.91&lt;0.01,"***",IF(       0.91&lt;0.05,"**",IF(       0.91&lt;0.1,"*","NS")))</f>
        <v>NS</v>
      </c>
      <c r="G21" s="15" t="s">
        <v>7</v>
      </c>
      <c r="H21" s="11">
        <v>17.06070907002044</v>
      </c>
      <c r="I21" s="11">
        <v>19.020132281857261</v>
      </c>
      <c r="J21" s="11">
        <v>1.959423211836844</v>
      </c>
      <c r="K21" s="12" t="str">
        <f>IF(       0.611&lt;0.01,"***",IF(       0.611&lt;0.05,"**",IF(       0.611&lt;0.1,"*","NS")))</f>
        <v>NS</v>
      </c>
      <c r="L21" s="11">
        <v>11.795271427156189</v>
      </c>
      <c r="M21" s="11">
        <v>-5.2654376428642955</v>
      </c>
      <c r="N21" s="12" t="str">
        <f>IF(       0.361&lt;0.01,"***",IF(       0.361&lt;0.05,"**",IF(       0.361&lt;0.1,"*","NS")))</f>
        <v>NS</v>
      </c>
      <c r="P21" s="15" t="s">
        <v>7</v>
      </c>
      <c r="Q21" s="11">
        <v>17.240978281249429</v>
      </c>
      <c r="R21" s="11">
        <v>11.795271427156189</v>
      </c>
      <c r="S21" s="11">
        <v>-5.4457068540932747</v>
      </c>
      <c r="T21" s="12" t="str">
        <f>IF(       0.335&lt;0.01,"***",IF(       0.335&lt;0.05,"**",IF(       0.335&lt;0.1,"*","NS")))</f>
        <v>NS</v>
      </c>
    </row>
    <row r="22" spans="1:20" ht="15.75" customHeight="1">
      <c r="A22" s="15" t="s">
        <v>8</v>
      </c>
      <c r="B22" s="11">
        <v>5.5566116272190698</v>
      </c>
      <c r="C22" s="11">
        <v>3.681522319104003</v>
      </c>
      <c r="D22" s="11">
        <v>-1.875089308115095</v>
      </c>
      <c r="E22" s="12" t="str">
        <f>IF(       0.097&lt;0.01,"***",IF(       0.097&lt;0.05,"**",IF(       0.097&lt;0.1,"*","NS")))</f>
        <v>*</v>
      </c>
      <c r="G22" s="15" t="s">
        <v>8</v>
      </c>
      <c r="H22" s="11">
        <v>5.5566116272190698</v>
      </c>
      <c r="I22" s="11">
        <v>4.592336788915703</v>
      </c>
      <c r="J22" s="11">
        <v>-0.96427483830338678</v>
      </c>
      <c r="K22" s="12" t="str">
        <f>IF(       0.504&lt;0.01,"***",IF(       0.504&lt;0.05,"**",IF(       0.504&lt;0.1,"*","NS")))</f>
        <v>NS</v>
      </c>
      <c r="L22" s="11">
        <v>1.700980565429643</v>
      </c>
      <c r="M22" s="11">
        <v>-3.8556310617894658</v>
      </c>
      <c r="N22" s="12" t="str">
        <f>IF(       0.005&lt;0.01,"***",IF(       0.005&lt;0.05,"**",IF(       0.005&lt;0.1,"*","NS")))</f>
        <v>***</v>
      </c>
      <c r="P22" s="15" t="s">
        <v>8</v>
      </c>
      <c r="Q22" s="11">
        <v>5.4699260899033462</v>
      </c>
      <c r="R22" s="11">
        <v>1.700980565429643</v>
      </c>
      <c r="S22" s="11">
        <v>-3.768945524473704</v>
      </c>
      <c r="T22" s="12" t="str">
        <f>IF(       0.005&lt;0.01,"***",IF(       0.005&lt;0.05,"**",IF(       0.005&lt;0.1,"*","NS")))</f>
        <v>***</v>
      </c>
    </row>
    <row r="23" spans="1:20" ht="15.75" customHeight="1">
      <c r="A23" s="15" t="s">
        <v>10</v>
      </c>
      <c r="B23" s="11">
        <v>9.3917277083480872</v>
      </c>
      <c r="C23" s="11">
        <v>8.5211490654140434</v>
      </c>
      <c r="D23" s="11">
        <v>-0.87057864293403597</v>
      </c>
      <c r="E23" s="12" t="str">
        <f>IF(       0.61&lt;0.01,"***",IF(       0.61&lt;0.05,"**",IF(       0.61&lt;0.1,"*","NS")))</f>
        <v>NS</v>
      </c>
      <c r="G23" s="15" t="s">
        <v>10</v>
      </c>
      <c r="H23" s="11">
        <v>9.3917277083480872</v>
      </c>
      <c r="I23" s="11">
        <v>10.177046271212699</v>
      </c>
      <c r="J23" s="11">
        <v>0.78531856286461388</v>
      </c>
      <c r="K23" s="12" t="str">
        <f>IF(       0.673&lt;0.01,"***",IF(       0.673&lt;0.05,"**",IF(       0.673&lt;0.1,"*","NS")))</f>
        <v>NS</v>
      </c>
      <c r="L23" s="11">
        <v>5.3569879425595612</v>
      </c>
      <c r="M23" s="11">
        <v>-4.0347397657883688</v>
      </c>
      <c r="N23" s="12" t="str">
        <f>IF(       0.104&lt;0.01,"***",IF(       0.104&lt;0.05,"**",IF(       0.104&lt;0.1,"*","NS")))</f>
        <v>NS</v>
      </c>
      <c r="P23" s="15" t="s">
        <v>10</v>
      </c>
      <c r="Q23" s="11">
        <v>9.4649827158741218</v>
      </c>
      <c r="R23" s="11">
        <v>5.3569879425595612</v>
      </c>
      <c r="S23" s="11">
        <v>-4.1079947733144317</v>
      </c>
      <c r="T23" s="12" t="str">
        <f>IF(       0.091&lt;0.01,"***",IF(       0.091&lt;0.05,"**",IF(       0.091&lt;0.1,"*","NS")))</f>
        <v>*</v>
      </c>
    </row>
    <row r="24" spans="1:20" ht="15.75" customHeight="1"/>
    <row r="25" spans="1:20" ht="15.75" customHeight="1">
      <c r="A25" s="15" t="s">
        <v>119</v>
      </c>
      <c r="G25" s="15" t="s">
        <v>120</v>
      </c>
      <c r="P25" s="15" t="s">
        <v>121</v>
      </c>
    </row>
    <row r="26" spans="1:20" s="8" customFormat="1" ht="15.75" customHeight="1">
      <c r="A26" s="7" t="s">
        <v>1</v>
      </c>
      <c r="B26" s="7" t="s">
        <v>44</v>
      </c>
      <c r="C26" s="7" t="s">
        <v>2</v>
      </c>
      <c r="D26" s="7" t="s">
        <v>45</v>
      </c>
      <c r="E26" s="7" t="s">
        <v>46</v>
      </c>
      <c r="G26" s="7" t="s">
        <v>1</v>
      </c>
      <c r="H26" s="7" t="s">
        <v>44</v>
      </c>
      <c r="I26" s="7" t="s">
        <v>3</v>
      </c>
      <c r="J26" s="7" t="s">
        <v>45</v>
      </c>
      <c r="K26" s="7" t="s">
        <v>46</v>
      </c>
      <c r="L26" s="7" t="s">
        <v>4</v>
      </c>
      <c r="M26" s="7" t="s">
        <v>47</v>
      </c>
      <c r="N26" s="7" t="s">
        <v>48</v>
      </c>
      <c r="P26" s="7" t="s">
        <v>1</v>
      </c>
      <c r="Q26" s="7" t="s">
        <v>49</v>
      </c>
      <c r="R26" s="7" t="s">
        <v>4</v>
      </c>
      <c r="S26" s="7" t="s">
        <v>45</v>
      </c>
      <c r="T26" s="7" t="s">
        <v>46</v>
      </c>
    </row>
    <row r="27" spans="1:20" ht="15.75" customHeight="1">
      <c r="A27" s="15" t="s">
        <v>5</v>
      </c>
      <c r="B27" s="11">
        <v>1.414459614387658</v>
      </c>
      <c r="C27" s="11">
        <v>0.74157839018741001</v>
      </c>
      <c r="D27" s="11">
        <v>-0.67288122420025942</v>
      </c>
      <c r="E27" s="12" t="str">
        <f>IF(       0.008&lt;0.01,"***",IF(       0.008&lt;0.05,"**",IF(       0.008&lt;0.1,"*","NS")))</f>
        <v>***</v>
      </c>
      <c r="G27" s="15" t="s">
        <v>5</v>
      </c>
      <c r="H27" s="11">
        <v>1.414459614387658</v>
      </c>
      <c r="I27" s="11">
        <v>0.85166977892928664</v>
      </c>
      <c r="J27" s="11">
        <v>-0.56278983545836525</v>
      </c>
      <c r="K27" s="12" t="str">
        <f>IF(       0.156&lt;0.01,"***",IF(       0.156&lt;0.05,"**",IF(       0.156&lt;0.1,"*","NS")))</f>
        <v>NS</v>
      </c>
      <c r="L27" s="11">
        <v>0.57834886241182026</v>
      </c>
      <c r="M27" s="11">
        <v>-0.83611075197581197</v>
      </c>
      <c r="N27" s="12" t="str">
        <f>IF(       0.076&lt;0.01,"***",IF(       0.076&lt;0.05,"**",IF(       0.076&lt;0.1,"*","NS")))</f>
        <v>*</v>
      </c>
      <c r="P27" s="15" t="s">
        <v>5</v>
      </c>
      <c r="Q27" s="11">
        <v>1.3632838642166341</v>
      </c>
      <c r="R27" s="11">
        <v>0.57834886241182026</v>
      </c>
      <c r="S27" s="11">
        <v>-0.78493500180489351</v>
      </c>
      <c r="T27" s="12" t="str">
        <f>IF(       0.105&lt;0.01,"***",IF(       0.105&lt;0.05,"**",IF(       0.105&lt;0.1,"*","NS")))</f>
        <v>NS</v>
      </c>
    </row>
    <row r="28" spans="1:20" ht="15.75" customHeight="1">
      <c r="A28" s="15" t="s">
        <v>6</v>
      </c>
      <c r="B28" s="11">
        <v>1.376442025343388</v>
      </c>
      <c r="C28" s="11">
        <v>2.858960035436342</v>
      </c>
      <c r="D28" s="11">
        <v>1.4825180100929722</v>
      </c>
      <c r="E28" s="12" t="str">
        <f>IF(       0.42&lt;0.01,"***",IF(       0.42&lt;0.05,"**",IF(       0.42&lt;0.1,"*","NS")))</f>
        <v>NS</v>
      </c>
      <c r="G28" s="15" t="s">
        <v>6</v>
      </c>
      <c r="H28" s="11">
        <v>1.376442025343388</v>
      </c>
      <c r="I28" s="11">
        <v>3.5418822995207089</v>
      </c>
      <c r="J28" s="11">
        <v>2.1654402741773482</v>
      </c>
      <c r="K28" s="12" t="str">
        <f>IF(       0.421&lt;0.01,"***",IF(       0.421&lt;0.05,"**",IF(       0.421&lt;0.1,"*","NS")))</f>
        <v>NS</v>
      </c>
      <c r="L28" s="11">
        <v>1.3163352257232439</v>
      </c>
      <c r="M28" s="11">
        <v>-6.0106799620147956E-2</v>
      </c>
      <c r="N28" s="12" t="str">
        <f>IF(       0.954&lt;0.01,"***",IF(       0.954&lt;0.05,"**",IF(       0.954&lt;0.1,"*","NS")))</f>
        <v>NS</v>
      </c>
      <c r="P28" s="15" t="s">
        <v>6</v>
      </c>
      <c r="Q28" s="11">
        <v>1.571460492192476</v>
      </c>
      <c r="R28" s="11">
        <v>1.3163352257232439</v>
      </c>
      <c r="S28" s="11">
        <v>-0.25512526646925621</v>
      </c>
      <c r="T28" s="12" t="str">
        <f>IF(       0.819&lt;0.01,"***",IF(       0.819&lt;0.05,"**",IF(       0.819&lt;0.1,"*","NS")))</f>
        <v>NS</v>
      </c>
    </row>
    <row r="29" spans="1:20" ht="15.75" customHeight="1">
      <c r="A29" s="15" t="s">
        <v>7</v>
      </c>
      <c r="B29" s="11">
        <v>3.229624422293369</v>
      </c>
      <c r="C29" s="11">
        <v>4.1224323573268871</v>
      </c>
      <c r="D29" s="11">
        <v>0.89280793503354594</v>
      </c>
      <c r="E29" s="12" t="str">
        <f>IF(       0.541&lt;0.01,"***",IF(       0.541&lt;0.05,"**",IF(       0.541&lt;0.1,"*","NS")))</f>
        <v>NS</v>
      </c>
      <c r="G29" s="15" t="s">
        <v>7</v>
      </c>
      <c r="H29" s="11">
        <v>3.229624422293369</v>
      </c>
      <c r="I29" s="11">
        <v>5.7899213876280751</v>
      </c>
      <c r="J29" s="11">
        <v>2.560296965334687</v>
      </c>
      <c r="K29" s="12" t="str">
        <f>IF(       0.211&lt;0.01,"***",IF(       0.211&lt;0.05,"**",IF(       0.211&lt;0.1,"*","NS")))</f>
        <v>NS</v>
      </c>
      <c r="L29" s="11">
        <v>1.0238076400910869</v>
      </c>
      <c r="M29" s="11">
        <v>-2.2058167822022705</v>
      </c>
      <c r="N29" s="12" t="str">
        <f>IF(       0.056&lt;0.01,"***",IF(       0.056&lt;0.05,"**",IF(       0.056&lt;0.1,"*","NS")))</f>
        <v>*</v>
      </c>
      <c r="P29" s="15" t="s">
        <v>7</v>
      </c>
      <c r="Q29" s="11">
        <v>3.5148365201980871</v>
      </c>
      <c r="R29" s="11">
        <v>1.0238076400910869</v>
      </c>
      <c r="S29" s="11">
        <v>-2.4910288801070295</v>
      </c>
      <c r="T29" s="12" t="str">
        <f>IF(       0.029&lt;0.01,"***",IF(       0.029&lt;0.05,"**",IF(       0.029&lt;0.1,"*","NS")))</f>
        <v>**</v>
      </c>
    </row>
    <row r="30" spans="1:20" ht="15.75" customHeight="1">
      <c r="A30" s="15" t="s">
        <v>8</v>
      </c>
      <c r="B30" s="11">
        <v>1.922615876290521</v>
      </c>
      <c r="C30" s="11">
        <v>2.1758367124572531</v>
      </c>
      <c r="D30" s="11">
        <v>0.25322083616673463</v>
      </c>
      <c r="E30" s="12" t="str">
        <f>IF(       0.648&lt;0.01,"***",IF(       0.648&lt;0.05,"**",IF(       0.648&lt;0.1,"*","NS")))</f>
        <v>NS</v>
      </c>
      <c r="G30" s="15" t="s">
        <v>8</v>
      </c>
      <c r="H30" s="11">
        <v>1.922615876290521</v>
      </c>
      <c r="I30" s="11">
        <v>2.8803211199530452</v>
      </c>
      <c r="J30" s="11">
        <v>0.95770524366251619</v>
      </c>
      <c r="K30" s="12" t="str">
        <f>IF(       0.198&lt;0.01,"***",IF(       0.198&lt;0.05,"**",IF(       0.198&lt;0.1,"*","NS")))</f>
        <v>NS</v>
      </c>
      <c r="L30" s="11">
        <v>0.47940575494168192</v>
      </c>
      <c r="M30" s="11">
        <v>-1.4432101213488451</v>
      </c>
      <c r="N30" s="12" t="str">
        <f>IF(       0.01&lt;0.01,"***",IF(       0.01&lt;0.05,"**",IF(       0.01&lt;0.1,"*","NS")))</f>
        <v>**</v>
      </c>
      <c r="P30" s="15" t="s">
        <v>8</v>
      </c>
      <c r="Q30" s="11">
        <v>2.011129945163721</v>
      </c>
      <c r="R30" s="11">
        <v>0.47940575494168192</v>
      </c>
      <c r="S30" s="11">
        <v>-1.5317241902219483</v>
      </c>
      <c r="T30" s="12" t="str">
        <f>IF(       0.006&lt;0.01,"***",IF(       0.006&lt;0.05,"**",IF(       0.006&lt;0.1,"*","NS")))</f>
        <v>***</v>
      </c>
    </row>
    <row r="31" spans="1:20" ht="15.75" customHeight="1">
      <c r="A31" s="15" t="s">
        <v>10</v>
      </c>
      <c r="B31" s="11">
        <v>1.7510485443446511</v>
      </c>
      <c r="C31" s="11">
        <v>1.9704661053629391</v>
      </c>
      <c r="D31" s="11">
        <v>0.2194175610182999</v>
      </c>
      <c r="E31" s="12" t="str">
        <f>IF(       0.633&lt;0.01,"***",IF(       0.633&lt;0.05,"**",IF(       0.633&lt;0.1,"*","NS")))</f>
        <v>NS</v>
      </c>
      <c r="G31" s="15" t="s">
        <v>10</v>
      </c>
      <c r="H31" s="11">
        <v>1.7510485443446511</v>
      </c>
      <c r="I31" s="11">
        <v>2.636102112846928</v>
      </c>
      <c r="J31" s="11">
        <v>0.88505356850225425</v>
      </c>
      <c r="K31" s="12" t="str">
        <f>IF(       0.207&lt;0.01,"***",IF(       0.207&lt;0.05,"**",IF(       0.207&lt;0.1,"*","NS")))</f>
        <v>NS</v>
      </c>
      <c r="L31" s="11">
        <v>0.7632178676111836</v>
      </c>
      <c r="M31" s="11">
        <v>-0.98783067673333702</v>
      </c>
      <c r="N31" s="12" t="str">
        <f>IF(       0.006&lt;0.01,"***",IF(       0.006&lt;0.05,"**",IF(       0.006&lt;0.1,"*","NS")))</f>
        <v>***</v>
      </c>
      <c r="P31" s="15" t="s">
        <v>10</v>
      </c>
      <c r="Q31" s="11">
        <v>1.8341018616826421</v>
      </c>
      <c r="R31" s="11">
        <v>0.7632178676111836</v>
      </c>
      <c r="S31" s="11">
        <v>-1.0708839940714912</v>
      </c>
      <c r="T31" s="12" t="str">
        <f>IF(       0.004&lt;0.01,"***",IF(       0.004&lt;0.05,"**",IF(       0.004&lt;0.1,"*","NS")))</f>
        <v>***</v>
      </c>
    </row>
    <row r="32" spans="1:20" ht="15.75" customHeight="1"/>
    <row r="33" spans="1:20" ht="15.75" customHeight="1">
      <c r="A33" s="15" t="s">
        <v>122</v>
      </c>
      <c r="G33" s="15" t="s">
        <v>123</v>
      </c>
      <c r="P33" s="15" t="s">
        <v>124</v>
      </c>
    </row>
    <row r="34" spans="1:20" s="8" customFormat="1" ht="15.75" customHeight="1">
      <c r="A34" s="7" t="s">
        <v>1</v>
      </c>
      <c r="B34" s="7" t="s">
        <v>44</v>
      </c>
      <c r="C34" s="7" t="s">
        <v>2</v>
      </c>
      <c r="D34" s="7" t="s">
        <v>45</v>
      </c>
      <c r="E34" s="7" t="s">
        <v>46</v>
      </c>
      <c r="G34" s="7" t="s">
        <v>1</v>
      </c>
      <c r="H34" s="7" t="s">
        <v>44</v>
      </c>
      <c r="I34" s="7" t="s">
        <v>3</v>
      </c>
      <c r="J34" s="7" t="s">
        <v>45</v>
      </c>
      <c r="K34" s="7" t="s">
        <v>46</v>
      </c>
      <c r="L34" s="7" t="s">
        <v>4</v>
      </c>
      <c r="M34" s="7" t="s">
        <v>47</v>
      </c>
      <c r="N34" s="7" t="s">
        <v>48</v>
      </c>
      <c r="P34" s="7" t="s">
        <v>1</v>
      </c>
      <c r="Q34" s="7" t="s">
        <v>49</v>
      </c>
      <c r="R34" s="7" t="s">
        <v>4</v>
      </c>
      <c r="S34" s="7" t="s">
        <v>45</v>
      </c>
      <c r="T34" s="7" t="s">
        <v>46</v>
      </c>
    </row>
    <row r="35" spans="1:20" ht="15.75" customHeight="1">
      <c r="A35" s="15" t="s">
        <v>5</v>
      </c>
      <c r="B35" s="11">
        <v>4.8540613310292429</v>
      </c>
      <c r="C35" s="11">
        <v>4.1720732825431446</v>
      </c>
      <c r="D35" s="11">
        <v>-0.68198804848609718</v>
      </c>
      <c r="E35" s="12" t="str">
        <f>IF(       0.416&lt;0.01,"***",IF(       0.416&lt;0.05,"**",IF(       0.416&lt;0.1,"*","NS")))</f>
        <v>NS</v>
      </c>
      <c r="G35" s="15" t="s">
        <v>5</v>
      </c>
      <c r="H35" s="11">
        <v>4.8540613310292429</v>
      </c>
      <c r="I35" s="11">
        <v>3.6851195986918119</v>
      </c>
      <c r="J35" s="11">
        <v>-1.1689417323374038</v>
      </c>
      <c r="K35" s="12" t="str">
        <f>IF(       0.258&lt;0.01,"***",IF(       0.258&lt;0.05,"**",IF(       0.258&lt;0.1,"*","NS")))</f>
        <v>NS</v>
      </c>
      <c r="L35" s="11">
        <v>4.9742957916636268</v>
      </c>
      <c r="M35" s="11">
        <v>0.12023446063436145</v>
      </c>
      <c r="N35" s="12" t="str">
        <f>IF(       0.955&lt;0.01,"***",IF(       0.955&lt;0.05,"**",IF(       0.955&lt;0.1,"*","NS")))</f>
        <v>NS</v>
      </c>
      <c r="P35" s="15" t="s">
        <v>5</v>
      </c>
      <c r="Q35" s="11">
        <v>4.7412702110446228</v>
      </c>
      <c r="R35" s="11">
        <v>4.9742957916636268</v>
      </c>
      <c r="S35" s="11">
        <v>0.23302558061901726</v>
      </c>
      <c r="T35" s="12" t="str">
        <f>IF(       0.915&lt;0.01,"***",IF(       0.915&lt;0.05,"**",IF(       0.915&lt;0.1,"*","NS")))</f>
        <v>NS</v>
      </c>
    </row>
    <row r="36" spans="1:20" ht="15.75" customHeight="1">
      <c r="A36" s="15" t="s">
        <v>6</v>
      </c>
      <c r="B36" s="11">
        <v>4.5913656733196646</v>
      </c>
      <c r="C36" s="11">
        <v>4.0584723116767254</v>
      </c>
      <c r="D36" s="11">
        <v>-0.53289336164292256</v>
      </c>
      <c r="E36" s="12" t="str">
        <f>IF(       0.754&lt;0.01,"***",IF(       0.754&lt;0.05,"**",IF(       0.754&lt;0.1,"*","NS")))</f>
        <v>NS</v>
      </c>
      <c r="G36" s="15" t="s">
        <v>6</v>
      </c>
      <c r="H36" s="11">
        <v>4.5913656733196646</v>
      </c>
      <c r="I36" s="11">
        <v>4.4510888966679376</v>
      </c>
      <c r="J36" s="11">
        <v>-0.14027677665169597</v>
      </c>
      <c r="K36" s="12" t="str">
        <f>IF(       0.926&lt;0.01,"***",IF(       0.926&lt;0.05,"**",IF(       0.926&lt;0.1,"*","NS")))</f>
        <v>NS</v>
      </c>
      <c r="L36" s="11">
        <v>2.7081877206059</v>
      </c>
      <c r="M36" s="11">
        <v>-1.8831779527137247</v>
      </c>
      <c r="N36" s="12" t="str">
        <f>IF(       0.495&lt;0.01,"***",IF(       0.495&lt;0.05,"**",IF(       0.495&lt;0.1,"*","NS")))</f>
        <v>NS</v>
      </c>
      <c r="P36" s="15" t="s">
        <v>6</v>
      </c>
      <c r="Q36" s="11">
        <v>4.576775292306416</v>
      </c>
      <c r="R36" s="11">
        <v>2.7081877206059</v>
      </c>
      <c r="S36" s="11">
        <v>-1.8685875717005116</v>
      </c>
      <c r="T36" s="12" t="str">
        <f>IF(       0.48&lt;0.01,"***",IF(       0.48&lt;0.05,"**",IF(       0.48&lt;0.1,"*","NS")))</f>
        <v>NS</v>
      </c>
    </row>
    <row r="37" spans="1:20" ht="15.75" customHeight="1">
      <c r="A37" s="15" t="s">
        <v>7</v>
      </c>
      <c r="B37" s="11">
        <v>16.176311452035439</v>
      </c>
      <c r="C37" s="11">
        <v>12.791538498567171</v>
      </c>
      <c r="D37" s="11">
        <v>-3.3847729534682998</v>
      </c>
      <c r="E37" s="12" t="str">
        <f>IF(       0.231&lt;0.01,"***",IF(       0.231&lt;0.05,"**",IF(       0.231&lt;0.1,"*","NS")))</f>
        <v>NS</v>
      </c>
      <c r="G37" s="15" t="s">
        <v>7</v>
      </c>
      <c r="H37" s="11">
        <v>16.176311452035439</v>
      </c>
      <c r="I37" s="11">
        <v>13.62157807801994</v>
      </c>
      <c r="J37" s="11">
        <v>-2.5547333740155307</v>
      </c>
      <c r="K37" s="12" t="str">
        <f>IF(       0.4&lt;0.01,"***",IF(       0.4&lt;0.05,"**",IF(       0.4&lt;0.1,"*","NS")))</f>
        <v>NS</v>
      </c>
      <c r="L37" s="11">
        <v>10.74731311727178</v>
      </c>
      <c r="M37" s="11">
        <v>-5.428998334763615</v>
      </c>
      <c r="N37" s="12" t="str">
        <f>IF(       0.202&lt;0.01,"***",IF(       0.202&lt;0.05,"**",IF(       0.202&lt;0.1,"*","NS")))</f>
        <v>NS</v>
      </c>
      <c r="P37" s="15" t="s">
        <v>7</v>
      </c>
      <c r="Q37" s="11">
        <v>15.872700043938529</v>
      </c>
      <c r="R37" s="11">
        <v>10.74731311727178</v>
      </c>
      <c r="S37" s="11">
        <v>-5.1253869266667342</v>
      </c>
      <c r="T37" s="12" t="str">
        <f>IF(       0.215&lt;0.01,"***",IF(       0.215&lt;0.05,"**",IF(       0.215&lt;0.1,"*","NS")))</f>
        <v>NS</v>
      </c>
    </row>
    <row r="38" spans="1:20" ht="15.75" customHeight="1">
      <c r="A38" s="15" t="s">
        <v>8</v>
      </c>
      <c r="B38" s="11">
        <v>6.643169276845283</v>
      </c>
      <c r="C38" s="11">
        <v>5.268525224191392</v>
      </c>
      <c r="D38" s="11">
        <v>-1.3746440526538437</v>
      </c>
      <c r="E38" s="12" t="str">
        <f>IF(       0.408&lt;0.01,"***",IF(       0.408&lt;0.05,"**",IF(       0.408&lt;0.1,"*","NS")))</f>
        <v>NS</v>
      </c>
      <c r="G38" s="15" t="s">
        <v>8</v>
      </c>
      <c r="H38" s="11">
        <v>6.643169276845283</v>
      </c>
      <c r="I38" s="11">
        <v>6.8714001868578123</v>
      </c>
      <c r="J38" s="11">
        <v>0.22823091001250656</v>
      </c>
      <c r="K38" s="12" t="str">
        <f>IF(       0.903&lt;0.01,"***",IF(       0.903&lt;0.05,"**",IF(       0.903&lt;0.1,"*","NS")))</f>
        <v>NS</v>
      </c>
      <c r="L38" s="11">
        <v>1.660308678841379</v>
      </c>
      <c r="M38" s="11">
        <v>-4.9828605980040219</v>
      </c>
      <c r="N38" s="12" t="str">
        <f>IF(       0.019&lt;0.01,"***",IF(       0.019&lt;0.05,"**",IF(       0.019&lt;0.1,"*","NS")))</f>
        <v>**</v>
      </c>
      <c r="P38" s="15" t="s">
        <v>8</v>
      </c>
      <c r="Q38" s="11">
        <v>6.6627502654836874</v>
      </c>
      <c r="R38" s="11">
        <v>1.660308678841379</v>
      </c>
      <c r="S38" s="11">
        <v>-5.0024415866423118</v>
      </c>
      <c r="T38" s="12" t="str">
        <f>IF(       0.016&lt;0.01,"***",IF(       0.016&lt;0.05,"**",IF(       0.016&lt;0.1,"*","NS")))</f>
        <v>**</v>
      </c>
    </row>
    <row r="39" spans="1:20" ht="15.75" customHeight="1">
      <c r="A39" s="15" t="s">
        <v>10</v>
      </c>
      <c r="B39" s="11">
        <v>12.61084359694563</v>
      </c>
      <c r="C39" s="11">
        <v>10.42158288654012</v>
      </c>
      <c r="D39" s="11">
        <v>-2.1892607104053958</v>
      </c>
      <c r="E39" s="12" t="str">
        <f>IF(       0.278&lt;0.01,"***",IF(       0.278&lt;0.05,"**",IF(       0.278&lt;0.1,"*","NS")))</f>
        <v>NS</v>
      </c>
      <c r="G39" s="15" t="s">
        <v>10</v>
      </c>
      <c r="H39" s="11">
        <v>12.61084359694563</v>
      </c>
      <c r="I39" s="11">
        <v>11.17802488532957</v>
      </c>
      <c r="J39" s="11">
        <v>-1.4328187116161035</v>
      </c>
      <c r="K39" s="12" t="str">
        <f>IF(       0.509&lt;0.01,"***",IF(       0.509&lt;0.05,"**",IF(       0.509&lt;0.1,"*","NS")))</f>
        <v>NS</v>
      </c>
      <c r="L39" s="11">
        <v>8.6118715198730076</v>
      </c>
      <c r="M39" s="11">
        <v>-3.9989720770725357</v>
      </c>
      <c r="N39" s="12" t="str">
        <f>IF(       0.18&lt;0.01,"***",IF(       0.18&lt;0.05,"**",IF(       0.18&lt;0.1,"*","NS")))</f>
        <v>NS</v>
      </c>
      <c r="P39" s="15" t="s">
        <v>10</v>
      </c>
      <c r="Q39" s="11">
        <v>12.45117511341323</v>
      </c>
      <c r="R39" s="11">
        <v>8.6118715198730076</v>
      </c>
      <c r="S39" s="11">
        <v>-3.8393035935399791</v>
      </c>
      <c r="T39" s="12" t="str">
        <f>IF(       0.186&lt;0.01,"***",IF(       0.186&lt;0.05,"**",IF(       0.186&lt;0.1,"*","NS")))</f>
        <v>NS</v>
      </c>
    </row>
    <row r="40" spans="1:20" ht="15.75" customHeight="1"/>
    <row r="41" spans="1:20" ht="15.75" customHeight="1">
      <c r="A41" s="15" t="s">
        <v>125</v>
      </c>
      <c r="G41" s="15" t="s">
        <v>126</v>
      </c>
      <c r="P41" s="15" t="s">
        <v>127</v>
      </c>
    </row>
    <row r="42" spans="1:20" s="8" customFormat="1" ht="15.75" customHeight="1">
      <c r="A42" s="7" t="s">
        <v>1</v>
      </c>
      <c r="B42" s="7" t="s">
        <v>44</v>
      </c>
      <c r="C42" s="7" t="s">
        <v>2</v>
      </c>
      <c r="D42" s="7" t="s">
        <v>45</v>
      </c>
      <c r="E42" s="7" t="s">
        <v>46</v>
      </c>
      <c r="G42" s="7" t="s">
        <v>1</v>
      </c>
      <c r="H42" s="7" t="s">
        <v>44</v>
      </c>
      <c r="I42" s="7" t="s">
        <v>3</v>
      </c>
      <c r="J42" s="7" t="s">
        <v>45</v>
      </c>
      <c r="K42" s="7" t="s">
        <v>46</v>
      </c>
      <c r="L42" s="7" t="s">
        <v>4</v>
      </c>
      <c r="M42" s="7" t="s">
        <v>47</v>
      </c>
      <c r="N42" s="7" t="s">
        <v>48</v>
      </c>
      <c r="P42" s="7" t="s">
        <v>1</v>
      </c>
      <c r="Q42" s="7" t="s">
        <v>49</v>
      </c>
      <c r="R42" s="7" t="s">
        <v>4</v>
      </c>
      <c r="S42" s="7" t="s">
        <v>45</v>
      </c>
      <c r="T42" s="7" t="s">
        <v>46</v>
      </c>
    </row>
    <row r="43" spans="1:20" ht="15.75" customHeight="1">
      <c r="A43" s="15" t="s">
        <v>5</v>
      </c>
      <c r="B43" s="11">
        <v>2.235667254700326</v>
      </c>
      <c r="C43" s="11">
        <v>2.812804314959283</v>
      </c>
      <c r="D43" s="11">
        <v>0.57713706025895828</v>
      </c>
      <c r="E43" s="12" t="str">
        <f>IF(       0.53&lt;0.01,"***",IF(       0.53&lt;0.05,"**",IF(       0.53&lt;0.1,"*","NS")))</f>
        <v>NS</v>
      </c>
      <c r="G43" s="15" t="s">
        <v>5</v>
      </c>
      <c r="H43" s="11">
        <v>2.235667254700326</v>
      </c>
      <c r="I43" s="11">
        <v>2.7466637683562709</v>
      </c>
      <c r="J43" s="11">
        <v>0.51099651365596976</v>
      </c>
      <c r="K43" s="12" t="str">
        <f>IF(       0.68&lt;0.01,"***",IF(       0.68&lt;0.05,"**",IF(       0.68&lt;0.1,"*","NS")))</f>
        <v>NS</v>
      </c>
      <c r="L43" s="11">
        <v>2.9128898263404008</v>
      </c>
      <c r="M43" s="11">
        <v>0.67722257164012523</v>
      </c>
      <c r="N43" s="12" t="str">
        <f>IF(       0.583&lt;0.01,"***",IF(       0.583&lt;0.05,"**",IF(       0.583&lt;0.1,"*","NS")))</f>
        <v>NS</v>
      </c>
      <c r="P43" s="15" t="s">
        <v>5</v>
      </c>
      <c r="Q43" s="11">
        <v>2.2533614078787849</v>
      </c>
      <c r="R43" s="11">
        <v>2.9128898263404008</v>
      </c>
      <c r="S43" s="11">
        <v>0.65952841846160881</v>
      </c>
      <c r="T43" s="12" t="str">
        <f>IF(       0.659&lt;0.01,"***",IF(       0.659&lt;0.05,"**",IF(       0.659&lt;0.1,"*","NS")))</f>
        <v>NS</v>
      </c>
    </row>
    <row r="44" spans="1:20" ht="15.75" customHeight="1">
      <c r="A44" s="15" t="s">
        <v>6</v>
      </c>
      <c r="B44" s="11" t="s">
        <v>29</v>
      </c>
      <c r="C44" s="11" t="s">
        <v>29</v>
      </c>
      <c r="D44" s="11" t="s">
        <v>29</v>
      </c>
      <c r="E44" s="11" t="s">
        <v>29</v>
      </c>
      <c r="G44" s="15" t="s">
        <v>6</v>
      </c>
      <c r="H44" s="11" t="s">
        <v>29</v>
      </c>
      <c r="I44" s="11" t="s">
        <v>29</v>
      </c>
      <c r="J44" s="11" t="s">
        <v>29</v>
      </c>
      <c r="K44" s="11" t="s">
        <v>29</v>
      </c>
      <c r="L44" s="11" t="s">
        <v>29</v>
      </c>
      <c r="M44" s="11" t="s">
        <v>29</v>
      </c>
      <c r="N44" s="11" t="s">
        <v>29</v>
      </c>
      <c r="P44" s="15" t="s">
        <v>6</v>
      </c>
      <c r="Q44" s="11" t="s">
        <v>29</v>
      </c>
      <c r="R44" s="11" t="s">
        <v>29</v>
      </c>
      <c r="S44" s="11" t="s">
        <v>29</v>
      </c>
      <c r="T44" s="11" t="s">
        <v>29</v>
      </c>
    </row>
    <row r="45" spans="1:20" ht="15.75" customHeight="1">
      <c r="A45" s="15" t="s">
        <v>7</v>
      </c>
      <c r="B45" s="11">
        <v>15.1572850006872</v>
      </c>
      <c r="C45" s="11">
        <v>11.63179879139094</v>
      </c>
      <c r="D45" s="11">
        <v>-3.5254862092963419</v>
      </c>
      <c r="E45" s="12" t="str">
        <f>IF(       0.263&lt;0.01,"***",IF(       0.263&lt;0.05,"**",IF(       0.263&lt;0.1,"*","NS")))</f>
        <v>NS</v>
      </c>
      <c r="G45" s="15" t="s">
        <v>7</v>
      </c>
      <c r="H45" s="11">
        <v>15.1572850006872</v>
      </c>
      <c r="I45" s="11">
        <v>11.78130833746634</v>
      </c>
      <c r="J45" s="11">
        <v>-3.375976663220849</v>
      </c>
      <c r="K45" s="12" t="str">
        <f>IF(       0.306&lt;0.01,"***",IF(       0.306&lt;0.05,"**",IF(       0.306&lt;0.1,"*","NS")))</f>
        <v>NS</v>
      </c>
      <c r="L45" s="11">
        <v>11.081328706818059</v>
      </c>
      <c r="M45" s="11">
        <v>-4.075956293869206</v>
      </c>
      <c r="N45" s="12" t="str">
        <f>IF(       0.904&lt;0.01,"***",IF(       0.904&lt;0.05,"**",IF(       0.904&lt;0.1,"*","NS")))</f>
        <v>NS</v>
      </c>
      <c r="P45" s="15" t="s">
        <v>7</v>
      </c>
      <c r="Q45" s="11">
        <v>14.92511931046961</v>
      </c>
      <c r="R45" s="11">
        <v>11.081328706818059</v>
      </c>
      <c r="S45" s="11">
        <v>-3.8437906036516543</v>
      </c>
      <c r="T45" s="12" t="str">
        <f>IF(       0.562&lt;0.01,"***",IF(       0.562&lt;0.05,"**",IF(       0.562&lt;0.1,"*","NS")))</f>
        <v>NS</v>
      </c>
    </row>
    <row r="46" spans="1:20" ht="15.75" customHeight="1">
      <c r="A46" s="15" t="s">
        <v>8</v>
      </c>
      <c r="B46" s="11">
        <v>3.978148998884123</v>
      </c>
      <c r="C46" s="11">
        <v>6.250589605628984</v>
      </c>
      <c r="D46" s="11">
        <v>2.2724406067449818</v>
      </c>
      <c r="E46" s="12" t="str">
        <f>IF(       0.151&lt;0.01,"***",IF(       0.151&lt;0.05,"**",IF(       0.151&lt;0.1,"*","NS")))</f>
        <v>NS</v>
      </c>
      <c r="G46" s="15" t="s">
        <v>8</v>
      </c>
      <c r="H46" s="11">
        <v>3.978148998884123</v>
      </c>
      <c r="I46" s="11">
        <v>7.6135801345748764</v>
      </c>
      <c r="J46" s="11">
        <v>3.6354311356908871</v>
      </c>
      <c r="K46" s="12" t="str">
        <f>IF(       0.054&lt;0.01,"***",IF(       0.054&lt;0.05,"**",IF(       0.054&lt;0.1,"*","NS")))</f>
        <v>*</v>
      </c>
      <c r="L46" s="11">
        <v>1.400973280999533</v>
      </c>
      <c r="M46" s="11">
        <v>-2.5771757178845949</v>
      </c>
      <c r="N46" s="12" t="str">
        <f>IF(       0.541&lt;0.01,"***",IF(       0.541&lt;0.05,"**",IF(       0.541&lt;0.1,"*","NS")))</f>
        <v>NS</v>
      </c>
      <c r="P46" s="15" t="s">
        <v>8</v>
      </c>
      <c r="Q46" s="11">
        <v>4.1462681851012713</v>
      </c>
      <c r="R46" s="11">
        <v>1.400973280999533</v>
      </c>
      <c r="S46" s="11">
        <v>-2.745294904101824</v>
      </c>
      <c r="T46" s="12" t="str">
        <f>IF(       0.068&lt;0.01,"***",IF(       0.068&lt;0.05,"**",IF(       0.068&lt;0.1,"*","NS")))</f>
        <v>*</v>
      </c>
    </row>
    <row r="47" spans="1:20" ht="15.75" customHeight="1">
      <c r="A47" s="15" t="s">
        <v>10</v>
      </c>
      <c r="B47" s="11">
        <v>7.6545520274090766</v>
      </c>
      <c r="C47" s="11">
        <v>8.0335118084620163</v>
      </c>
      <c r="D47" s="11">
        <v>0.37895978105292477</v>
      </c>
      <c r="E47" s="12" t="str">
        <f>IF(       0.799&lt;0.01,"***",IF(       0.799&lt;0.05,"**",IF(       0.799&lt;0.1,"*","NS")))</f>
        <v>NS</v>
      </c>
      <c r="G47" s="15" t="s">
        <v>10</v>
      </c>
      <c r="H47" s="11">
        <v>7.6545520274090766</v>
      </c>
      <c r="I47" s="11">
        <v>8.7427854247361481</v>
      </c>
      <c r="J47" s="11">
        <v>1.0882333973270952</v>
      </c>
      <c r="K47" s="12" t="str">
        <f>IF(       0.522&lt;0.01,"***",IF(       0.522&lt;0.05,"**",IF(       0.522&lt;0.1,"*","NS")))</f>
        <v>NS</v>
      </c>
      <c r="L47" s="11">
        <v>6.0555672412360844</v>
      </c>
      <c r="M47" s="11">
        <v>-1.5989847861730544</v>
      </c>
      <c r="N47" s="12" t="str">
        <f>IF(       0.569&lt;0.01,"***",IF(       0.569&lt;0.05,"**",IF(       0.569&lt;0.1,"*","NS")))</f>
        <v>NS</v>
      </c>
      <c r="P47" s="15" t="s">
        <v>10</v>
      </c>
      <c r="Q47" s="11">
        <v>7.7098589790231582</v>
      </c>
      <c r="R47" s="11">
        <v>6.0555672412360844</v>
      </c>
      <c r="S47" s="11">
        <v>-1.6542917377871418</v>
      </c>
      <c r="T47" s="12" t="str">
        <f>IF(       0.555&lt;0.01,"***",IF(       0.555&lt;0.05,"**",IF(       0.555&lt;0.1,"*","NS")))</f>
        <v>NS</v>
      </c>
    </row>
    <row r="48" spans="1:20" ht="15.75" customHeight="1"/>
    <row r="49" spans="1:20" ht="15.75" customHeight="1">
      <c r="A49" s="15" t="s">
        <v>128</v>
      </c>
      <c r="G49" s="15" t="s">
        <v>129</v>
      </c>
      <c r="P49" s="15" t="s">
        <v>130</v>
      </c>
    </row>
    <row r="50" spans="1:20" s="8" customFormat="1" ht="15.75" customHeight="1">
      <c r="A50" s="7" t="s">
        <v>1</v>
      </c>
      <c r="B50" s="7" t="s">
        <v>44</v>
      </c>
      <c r="C50" s="7" t="s">
        <v>2</v>
      </c>
      <c r="D50" s="7" t="s">
        <v>45</v>
      </c>
      <c r="E50" s="7" t="s">
        <v>46</v>
      </c>
      <c r="G50" s="7" t="s">
        <v>1</v>
      </c>
      <c r="H50" s="7" t="s">
        <v>44</v>
      </c>
      <c r="I50" s="7" t="s">
        <v>3</v>
      </c>
      <c r="J50" s="7" t="s">
        <v>45</v>
      </c>
      <c r="K50" s="7" t="s">
        <v>46</v>
      </c>
      <c r="L50" s="7" t="s">
        <v>4</v>
      </c>
      <c r="M50" s="7" t="s">
        <v>47</v>
      </c>
      <c r="N50" s="7" t="s">
        <v>48</v>
      </c>
      <c r="P50" s="7" t="s">
        <v>1</v>
      </c>
      <c r="Q50" s="7" t="s">
        <v>49</v>
      </c>
      <c r="R50" s="7" t="s">
        <v>4</v>
      </c>
      <c r="S50" s="7" t="s">
        <v>45</v>
      </c>
      <c r="T50" s="7" t="s">
        <v>46</v>
      </c>
    </row>
    <row r="51" spans="1:20" ht="15.75" customHeight="1">
      <c r="A51" s="15" t="s">
        <v>5</v>
      </c>
      <c r="B51" s="11">
        <v>1.6221309423673611</v>
      </c>
      <c r="C51" s="11">
        <v>0.91577050008831162</v>
      </c>
      <c r="D51" s="11">
        <v>-0.70636044227906358</v>
      </c>
      <c r="E51" s="12" t="str">
        <f>IF(       0.119&lt;0.01,"***",IF(       0.119&lt;0.05,"**",IF(       0.119&lt;0.1,"*","NS")))</f>
        <v>NS</v>
      </c>
      <c r="G51" s="15" t="s">
        <v>5</v>
      </c>
      <c r="H51" s="11">
        <v>1.6221309423673611</v>
      </c>
      <c r="I51" s="11">
        <v>0.95200993340029005</v>
      </c>
      <c r="J51" s="11">
        <v>-0.67012100896708249</v>
      </c>
      <c r="K51" s="12" t="str">
        <f>IF(       0.305&lt;0.01,"***",IF(       0.305&lt;0.05,"**",IF(       0.305&lt;0.1,"*","NS")))</f>
        <v>NS</v>
      </c>
      <c r="L51" s="11">
        <v>0.86086959523971252</v>
      </c>
      <c r="M51" s="11">
        <v>-0.76126134712765203</v>
      </c>
      <c r="N51" s="12" t="str">
        <f>IF(       0.163&lt;0.01,"***",IF(       0.163&lt;0.05,"**",IF(       0.163&lt;0.1,"*","NS")))</f>
        <v>NS</v>
      </c>
      <c r="P51" s="15" t="s">
        <v>5</v>
      </c>
      <c r="Q51" s="11">
        <v>1.4550590320801771</v>
      </c>
      <c r="R51" s="11">
        <v>0.86086959523971252</v>
      </c>
      <c r="S51" s="11">
        <v>-0.59418943684045167</v>
      </c>
      <c r="T51" s="12" t="str">
        <f>IF(       0.294&lt;0.01,"***",IF(       0.294&lt;0.05,"**",IF(       0.294&lt;0.1,"*","NS")))</f>
        <v>NS</v>
      </c>
    </row>
    <row r="52" spans="1:20" ht="15.75" customHeight="1">
      <c r="A52" s="15" t="s">
        <v>6</v>
      </c>
      <c r="B52" s="11">
        <v>1.155248966205884</v>
      </c>
      <c r="C52" s="11">
        <v>2.3974280247464699</v>
      </c>
      <c r="D52" s="11">
        <v>1.2421790585405916</v>
      </c>
      <c r="E52" s="12" t="str">
        <f>IF(       0.202&lt;0.01,"***",IF(       0.202&lt;0.05,"**",IF(       0.202&lt;0.1,"*","NS")))</f>
        <v>NS</v>
      </c>
      <c r="G52" s="15" t="s">
        <v>6</v>
      </c>
      <c r="H52" s="11">
        <v>1.155248966205884</v>
      </c>
      <c r="I52" s="11">
        <v>2.8125957996022048</v>
      </c>
      <c r="J52" s="11">
        <v>1.6573468333963259</v>
      </c>
      <c r="K52" s="12" t="str">
        <f>IF(       0.18&lt;0.01,"***",IF(       0.18&lt;0.05,"**",IF(       0.18&lt;0.1,"*","NS")))</f>
        <v>NS</v>
      </c>
      <c r="L52" s="11">
        <v>1.3899049098008081</v>
      </c>
      <c r="M52" s="11">
        <v>0.23465594359492273</v>
      </c>
      <c r="N52" s="12" t="str">
        <f>IF(       0.795&lt;0.01,"***",IF(       0.795&lt;0.05,"**",IF(       0.795&lt;0.1,"*","NS")))</f>
        <v>NS</v>
      </c>
      <c r="P52" s="15" t="s">
        <v>6</v>
      </c>
      <c r="Q52" s="11">
        <v>1.5456794778627649</v>
      </c>
      <c r="R52" s="11">
        <v>1.3899049098008081</v>
      </c>
      <c r="S52" s="11">
        <v>-0.15577456806195461</v>
      </c>
      <c r="T52" s="12" t="str">
        <f>IF(       0.859&lt;0.01,"***",IF(       0.859&lt;0.05,"**",IF(       0.859&lt;0.1,"*","NS")))</f>
        <v>NS</v>
      </c>
    </row>
    <row r="53" spans="1:20" ht="15.75" customHeight="1">
      <c r="A53" s="15" t="s">
        <v>7</v>
      </c>
      <c r="B53" s="11">
        <v>9.1808595175763976</v>
      </c>
      <c r="C53" s="11">
        <v>10.923869663842019</v>
      </c>
      <c r="D53" s="11">
        <v>1.7430101462656182</v>
      </c>
      <c r="E53" s="12" t="str">
        <f>IF(       0.529&lt;0.01,"***",IF(       0.529&lt;0.05,"**",IF(       0.529&lt;0.1,"*","NS")))</f>
        <v>NS</v>
      </c>
      <c r="G53" s="15" t="s">
        <v>7</v>
      </c>
      <c r="H53" s="11">
        <v>9.1808595175763976</v>
      </c>
      <c r="I53" s="11">
        <v>12.66184456253613</v>
      </c>
      <c r="J53" s="11">
        <v>3.4809850449597284</v>
      </c>
      <c r="K53" s="12" t="str">
        <f>IF(       0.324&lt;0.01,"***",IF(       0.324&lt;0.05,"**",IF(       0.324&lt;0.1,"*","NS")))</f>
        <v>NS</v>
      </c>
      <c r="L53" s="11">
        <v>7.7499161299576134</v>
      </c>
      <c r="M53" s="11">
        <v>-1.4309433876187845</v>
      </c>
      <c r="N53" s="12" t="str">
        <f>IF(       0.614&lt;0.01,"***",IF(       0.614&lt;0.05,"**",IF(       0.614&lt;0.1,"*","NS")))</f>
        <v>NS</v>
      </c>
      <c r="P53" s="15" t="s">
        <v>7</v>
      </c>
      <c r="Q53" s="11">
        <v>10.063769505862579</v>
      </c>
      <c r="R53" s="11">
        <v>7.7499161299576134</v>
      </c>
      <c r="S53" s="11">
        <v>-2.3138533759049866</v>
      </c>
      <c r="T53" s="12" t="str">
        <f>IF(       0.383&lt;0.01,"***",IF(       0.383&lt;0.05,"**",IF(       0.383&lt;0.1,"*","NS")))</f>
        <v>NS</v>
      </c>
    </row>
    <row r="54" spans="1:20" ht="15.75" customHeight="1">
      <c r="A54" s="15" t="s">
        <v>8</v>
      </c>
      <c r="B54" s="11">
        <v>1.6987657509571601</v>
      </c>
      <c r="C54" s="11">
        <v>1.5793112543183541</v>
      </c>
      <c r="D54" s="11">
        <v>-0.11945449663880343</v>
      </c>
      <c r="E54" s="12" t="str">
        <f>IF(       0.851&lt;0.01,"***",IF(       0.851&lt;0.05,"**",IF(       0.851&lt;0.1,"*","NS")))</f>
        <v>NS</v>
      </c>
      <c r="G54" s="15" t="s">
        <v>8</v>
      </c>
      <c r="H54" s="11">
        <v>1.6987657509571601</v>
      </c>
      <c r="I54" s="11">
        <v>2.0403479717770669</v>
      </c>
      <c r="J54" s="11">
        <v>0.34158222081990014</v>
      </c>
      <c r="K54" s="12" t="str">
        <f>IF(       0.661&lt;0.01,"***",IF(       0.661&lt;0.05,"**",IF(       0.661&lt;0.1,"*","NS")))</f>
        <v>NS</v>
      </c>
      <c r="L54" s="11">
        <v>0.66361062248699865</v>
      </c>
      <c r="M54" s="11">
        <v>-1.0351551284701666</v>
      </c>
      <c r="N54" s="12" t="str">
        <f>IF(       0.202&lt;0.01,"***",IF(       0.202&lt;0.05,"**",IF(       0.202&lt;0.1,"*","NS")))</f>
        <v>NS</v>
      </c>
      <c r="P54" s="15" t="s">
        <v>8</v>
      </c>
      <c r="Q54" s="11">
        <v>1.765038327125797</v>
      </c>
      <c r="R54" s="11">
        <v>0.66361062248699865</v>
      </c>
      <c r="S54" s="11">
        <v>-1.1014277046388252</v>
      </c>
      <c r="T54" s="12" t="str">
        <f>IF(       0.162&lt;0.01,"***",IF(       0.162&lt;0.05,"**",IF(       0.162&lt;0.1,"*","NS")))</f>
        <v>NS</v>
      </c>
    </row>
    <row r="55" spans="1:20" ht="15.75" customHeight="1">
      <c r="A55" s="15" t="s">
        <v>10</v>
      </c>
      <c r="B55" s="11">
        <v>4.3972576996271968</v>
      </c>
      <c r="C55" s="11">
        <v>5.2816671195467464</v>
      </c>
      <c r="D55" s="11">
        <v>0.88440941991956601</v>
      </c>
      <c r="E55" s="12" t="str">
        <f>IF(       0.468&lt;0.01,"***",IF(       0.468&lt;0.05,"**",IF(       0.468&lt;0.1,"*","NS")))</f>
        <v>NS</v>
      </c>
      <c r="G55" s="15" t="s">
        <v>10</v>
      </c>
      <c r="H55" s="11">
        <v>4.3972576996271968</v>
      </c>
      <c r="I55" s="11">
        <v>6.1646638947758561</v>
      </c>
      <c r="J55" s="11">
        <v>1.7674061951487081</v>
      </c>
      <c r="K55" s="12" t="str">
        <f>IF(       0.25&lt;0.01,"***",IF(       0.25&lt;0.05,"**",IF(       0.25&lt;0.1,"*","NS")))</f>
        <v>NS</v>
      </c>
      <c r="L55" s="11">
        <v>3.680361107423916</v>
      </c>
      <c r="M55" s="11">
        <v>-0.71689659220325663</v>
      </c>
      <c r="N55" s="12" t="str">
        <f>IF(       0.583&lt;0.01,"***",IF(       0.583&lt;0.05,"**",IF(       0.583&lt;0.1,"*","NS")))</f>
        <v>NS</v>
      </c>
      <c r="P55" s="15" t="s">
        <v>10</v>
      </c>
      <c r="Q55" s="11">
        <v>4.8206796078991019</v>
      </c>
      <c r="R55" s="11">
        <v>3.680361107423916</v>
      </c>
      <c r="S55" s="11">
        <v>-1.1403185004751866</v>
      </c>
      <c r="T55" s="12" t="str">
        <f>IF(       0.356&lt;0.01,"***",IF(       0.356&lt;0.05,"**",IF(       0.356&lt;0.1,"*","NS")))</f>
        <v>NS</v>
      </c>
    </row>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Read_me_first</vt:lpstr>
      <vt:lpstr>P1_Prevalence</vt:lpstr>
      <vt:lpstr>P2_Prevalence_by_type</vt:lpstr>
      <vt:lpstr>P3_Prevalence_household_level</vt:lpstr>
      <vt:lpstr>Indicators_by_type</vt:lpstr>
      <vt:lpstr>E1_Ever_attended_school</vt:lpstr>
      <vt:lpstr>E2_Less_Than_Primary</vt:lpstr>
      <vt:lpstr>E3_Primary</vt:lpstr>
      <vt:lpstr>E4_At_least_secondary</vt:lpstr>
      <vt:lpstr>H1_Water</vt:lpstr>
      <vt:lpstr>H2_Sanitation</vt:lpstr>
      <vt:lpstr>S1_Electricity</vt:lpstr>
      <vt:lpstr>S2_Clean_fuel</vt:lpstr>
      <vt:lpstr>S3_Adequate Housing</vt:lpstr>
      <vt:lpstr>S4_Owns Assets</vt:lpstr>
      <vt:lpstr>S5_Mobile_phone</vt:lpstr>
      <vt:lpstr>M1_Multid_poverty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ktheiss_fordham</dc:creator>
  <cp:lastModifiedBy>Sophie</cp:lastModifiedBy>
  <dcterms:created xsi:type="dcterms:W3CDTF">2023-04-20T16:22:18Z</dcterms:created>
  <dcterms:modified xsi:type="dcterms:W3CDTF">2023-06-08T21:19:53Z</dcterms:modified>
</cp:coreProperties>
</file>